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JNPAD\PAN (IPAN, NIPAN, VDPAN)\IPAN\Atlases\AF\VARAM\1.2.1.3.i pašv.eku siltin\1_Atlases sagatavosana\Atlases nolikums\FINAL 14.12.2022\"/>
    </mc:Choice>
  </mc:AlternateContent>
  <xr:revisionPtr revIDLastSave="0" documentId="8_{BD7CBA18-18E2-45A0-8337-684EE5651935}" xr6:coauthVersionLast="47" xr6:coauthVersionMax="47" xr10:uidLastSave="{00000000-0000-0000-0000-000000000000}"/>
  <bookViews>
    <workbookView xWindow="1524" yWindow="-108" windowWidth="21624" windowHeight="13176" tabRatio="927" xr2:uid="{00000000-000D-0000-FFFF-FFFF00000000}"/>
  </bookViews>
  <sheets>
    <sheet name="1.lapa_Patēriņš" sheetId="5" r:id="rId1"/>
    <sheet name="2.lapa_Esošā situācija" sheetId="1" r:id="rId2"/>
    <sheet name="3.lapa_Situācija pēc" sheetId="2" r:id="rId3"/>
    <sheet name="4.lapa_Energoprasiba_apkurei" sheetId="13" r:id="rId4"/>
    <sheet name="5.lapa_Energoefektivitate" sheetId="7" r:id="rId5"/>
    <sheet name="6.lapa_Centralizētā" sheetId="10" r:id="rId6"/>
    <sheet name="PV_enerģija" sheetId="12" state="hidden" r:id="rId7"/>
  </sheets>
  <definedNames>
    <definedName name="Output_Heizwaerme_Jahresverfahren">'2.lapa_Esošā situācija'!$L$70</definedName>
    <definedName name="_xlnm.Print_Area" localSheetId="0">'1.lapa_Patēriņš'!$A$1:$O$60</definedName>
    <definedName name="_xlnm.Print_Area" localSheetId="1">'2.lapa_Esošā situācija'!$A$1:$L$70</definedName>
    <definedName name="_xlnm.Print_Area" localSheetId="2">'3.lapa_Situācija pēc'!$A$1:$L$70</definedName>
    <definedName name="_xlnm.Print_Area" localSheetId="3">'4.lapa_Energoprasiba_apkurei'!$A$1:$P$37</definedName>
    <definedName name="_xlnm.Print_Area" localSheetId="4">'5.lapa_Energoefektivitate'!$B$1:$O$64</definedName>
    <definedName name="_xlnm.Print_Area" localSheetId="5">'6.lapa_Centralizētā'!$A$1:$F$26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5" i="7" l="1"/>
  <c r="G54" i="7"/>
  <c r="G53" i="7"/>
  <c r="G51" i="7"/>
  <c r="G44" i="7"/>
  <c r="N27" i="13"/>
  <c r="M27" i="13"/>
  <c r="L27" i="13"/>
  <c r="K27" i="13"/>
  <c r="J27" i="13"/>
  <c r="I27" i="13"/>
  <c r="H27" i="13"/>
  <c r="G27" i="13"/>
  <c r="F27" i="13"/>
  <c r="E27" i="13"/>
  <c r="D27" i="13"/>
  <c r="C27" i="13"/>
  <c r="D15" i="13"/>
  <c r="E15" i="13"/>
  <c r="F15" i="13"/>
  <c r="G15" i="13"/>
  <c r="H15" i="13"/>
  <c r="I15" i="13"/>
  <c r="J15" i="13"/>
  <c r="K15" i="13"/>
  <c r="L15" i="13"/>
  <c r="M15" i="13"/>
  <c r="N15" i="13"/>
  <c r="C15" i="13"/>
  <c r="L62" i="7"/>
  <c r="K18" i="1" l="1"/>
  <c r="K19" i="1"/>
  <c r="K20" i="1"/>
  <c r="K21" i="1"/>
  <c r="K22" i="1"/>
  <c r="K23" i="1"/>
  <c r="K24" i="1"/>
  <c r="K25" i="1"/>
  <c r="K26" i="1"/>
  <c r="K27" i="1"/>
  <c r="K28" i="1"/>
  <c r="K29" i="1"/>
  <c r="K30" i="1"/>
  <c r="K31" i="1"/>
  <c r="K32" i="1"/>
  <c r="K33" i="1"/>
  <c r="K34" i="1"/>
  <c r="K35" i="1"/>
  <c r="K36" i="1"/>
  <c r="K17" i="1"/>
  <c r="E66" i="2"/>
  <c r="E65" i="2"/>
  <c r="K11" i="2"/>
  <c r="K12" i="2"/>
  <c r="D45" i="2" s="1"/>
  <c r="D46" i="2" s="1"/>
  <c r="J12" i="2"/>
  <c r="D42" i="2" s="1"/>
  <c r="J11" i="2"/>
  <c r="H65" i="2" s="1"/>
  <c r="J66" i="1"/>
  <c r="K6" i="1"/>
  <c r="J6" i="1"/>
  <c r="K5" i="1"/>
  <c r="J5" i="1"/>
  <c r="K6" i="2"/>
  <c r="K5" i="2"/>
  <c r="J6" i="2"/>
  <c r="J5" i="2"/>
  <c r="F18" i="2"/>
  <c r="F19" i="2"/>
  <c r="J19" i="2" s="1"/>
  <c r="F20" i="2"/>
  <c r="F21" i="2"/>
  <c r="F22" i="2"/>
  <c r="F23" i="2"/>
  <c r="J23" i="2" s="1"/>
  <c r="F24" i="2"/>
  <c r="J24" i="2" s="1"/>
  <c r="F25" i="2"/>
  <c r="J25" i="2" s="1"/>
  <c r="F26" i="2"/>
  <c r="F27" i="2"/>
  <c r="J27" i="2" s="1"/>
  <c r="F28" i="2"/>
  <c r="F29" i="2"/>
  <c r="J29" i="2" s="1"/>
  <c r="F30" i="2"/>
  <c r="F31" i="2"/>
  <c r="D56" i="2" s="1"/>
  <c r="J56" i="2" s="1"/>
  <c r="F32" i="2"/>
  <c r="D57" i="2" s="1"/>
  <c r="J57" i="2" s="1"/>
  <c r="F33" i="2"/>
  <c r="J33" i="2" s="1"/>
  <c r="F34" i="2"/>
  <c r="J34" i="2" s="1"/>
  <c r="F35" i="2"/>
  <c r="J35" i="2" s="1"/>
  <c r="F36" i="2"/>
  <c r="F17" i="2"/>
  <c r="D18" i="2"/>
  <c r="K18" i="2" s="1"/>
  <c r="D19" i="2"/>
  <c r="I19" i="2" s="1"/>
  <c r="D20" i="2"/>
  <c r="K20" i="2" s="1"/>
  <c r="D21" i="2"/>
  <c r="K21" i="2" s="1"/>
  <c r="D22" i="2"/>
  <c r="H22" i="2" s="1"/>
  <c r="D23" i="2"/>
  <c r="I23" i="2" s="1"/>
  <c r="D24" i="2"/>
  <c r="K24" i="2" s="1"/>
  <c r="D25" i="2"/>
  <c r="K25" i="2" s="1"/>
  <c r="D26" i="2"/>
  <c r="K26" i="2" s="1"/>
  <c r="D27" i="2"/>
  <c r="K27" i="2" s="1"/>
  <c r="D28" i="2"/>
  <c r="K28" i="2" s="1"/>
  <c r="D29" i="2"/>
  <c r="I29" i="2" s="1"/>
  <c r="D30" i="2"/>
  <c r="I30" i="2" s="1"/>
  <c r="D31" i="2"/>
  <c r="I31" i="2" s="1"/>
  <c r="D32" i="2"/>
  <c r="K32" i="2" s="1"/>
  <c r="D33" i="2"/>
  <c r="K33" i="2" s="1"/>
  <c r="D34" i="2"/>
  <c r="K34" i="2" s="1"/>
  <c r="D35" i="2"/>
  <c r="I35" i="2" s="1"/>
  <c r="D36" i="2"/>
  <c r="K36" i="2" s="1"/>
  <c r="D17" i="2"/>
  <c r="I17" i="2" s="1"/>
  <c r="H66" i="2"/>
  <c r="C66" i="2"/>
  <c r="C65" i="2"/>
  <c r="H66" i="1"/>
  <c r="C66" i="1"/>
  <c r="C65" i="1"/>
  <c r="D55" i="2"/>
  <c r="J55" i="2" s="1"/>
  <c r="D54" i="2"/>
  <c r="J54" i="2" s="1"/>
  <c r="I45" i="2"/>
  <c r="I47" i="2" s="1"/>
  <c r="F45" i="2"/>
  <c r="F47" i="2" s="1"/>
  <c r="I42" i="2"/>
  <c r="I44" i="2" s="1"/>
  <c r="F42" i="2"/>
  <c r="F44" i="2" s="1"/>
  <c r="J36" i="2"/>
  <c r="I34" i="2"/>
  <c r="H34" i="2"/>
  <c r="H32" i="2"/>
  <c r="J30" i="2"/>
  <c r="J28" i="2"/>
  <c r="J26" i="2"/>
  <c r="I26" i="2"/>
  <c r="H26" i="2"/>
  <c r="H25" i="2"/>
  <c r="H24" i="2"/>
  <c r="J22" i="2"/>
  <c r="I22" i="2"/>
  <c r="J21" i="2"/>
  <c r="J20" i="2"/>
  <c r="H19" i="2"/>
  <c r="J18" i="2"/>
  <c r="I18" i="2"/>
  <c r="H18" i="2"/>
  <c r="I5" i="2"/>
  <c r="H5" i="2"/>
  <c r="G5" i="2"/>
  <c r="F5" i="2"/>
  <c r="I3" i="7"/>
  <c r="I45" i="1"/>
  <c r="I46" i="1" s="1"/>
  <c r="I42" i="1"/>
  <c r="I43" i="1" s="1"/>
  <c r="F45" i="1"/>
  <c r="F47" i="1" s="1"/>
  <c r="D45" i="1"/>
  <c r="D47" i="1" s="1"/>
  <c r="D42" i="1"/>
  <c r="D43" i="1" s="1"/>
  <c r="G5" i="1"/>
  <c r="F5" i="1"/>
  <c r="I5" i="1"/>
  <c r="H5" i="1"/>
  <c r="F42" i="1"/>
  <c r="K31" i="2" l="1"/>
  <c r="K23" i="2"/>
  <c r="J66" i="2"/>
  <c r="K30" i="2"/>
  <c r="K22" i="2"/>
  <c r="K17" i="2"/>
  <c r="K29" i="2"/>
  <c r="H21" i="2"/>
  <c r="H30" i="2"/>
  <c r="K35" i="2"/>
  <c r="K19" i="2"/>
  <c r="I21" i="2"/>
  <c r="H23" i="2"/>
  <c r="G46" i="2"/>
  <c r="H31" i="2"/>
  <c r="J65" i="2"/>
  <c r="I25" i="2"/>
  <c r="H29" i="2"/>
  <c r="H33" i="2"/>
  <c r="I33" i="2"/>
  <c r="D58" i="2"/>
  <c r="J58" i="2" s="1"/>
  <c r="J31" i="2"/>
  <c r="H27" i="2"/>
  <c r="I27" i="2"/>
  <c r="H35" i="2"/>
  <c r="G42" i="1"/>
  <c r="K42" i="1" s="1"/>
  <c r="D44" i="1"/>
  <c r="H20" i="2"/>
  <c r="H28" i="2"/>
  <c r="I20" i="2"/>
  <c r="I28" i="2"/>
  <c r="H36" i="2"/>
  <c r="I36" i="2"/>
  <c r="J32" i="2"/>
  <c r="I24" i="2"/>
  <c r="I32" i="2"/>
  <c r="H17" i="2"/>
  <c r="G42" i="2"/>
  <c r="K42" i="2" s="1"/>
  <c r="I43" i="2"/>
  <c r="D44" i="2"/>
  <c r="G44" i="2" s="1"/>
  <c r="K44" i="2" s="1"/>
  <c r="D46" i="1"/>
  <c r="G46" i="1" s="1"/>
  <c r="J60" i="2"/>
  <c r="D43" i="2"/>
  <c r="G43" i="2" s="1"/>
  <c r="K43" i="2" s="1"/>
  <c r="B49" i="2" s="1"/>
  <c r="I46" i="2"/>
  <c r="D47" i="2"/>
  <c r="G47" i="2" s="1"/>
  <c r="K47" i="2" s="1"/>
  <c r="G45" i="2"/>
  <c r="K45" i="2" s="1"/>
  <c r="G45" i="1"/>
  <c r="I44" i="1"/>
  <c r="I47" i="1"/>
  <c r="G47" i="1"/>
  <c r="F44" i="1"/>
  <c r="G43" i="1"/>
  <c r="K37" i="2" l="1"/>
  <c r="K46" i="2"/>
  <c r="K48" i="2" s="1"/>
  <c r="G44" i="1"/>
  <c r="J70" i="2" l="1"/>
  <c r="H70" i="2" s="1"/>
  <c r="C39" i="7"/>
  <c r="D55" i="1" l="1"/>
  <c r="J55" i="1" s="1"/>
  <c r="D56" i="1"/>
  <c r="J56" i="1" s="1"/>
  <c r="D57" i="1"/>
  <c r="J57" i="1" s="1"/>
  <c r="D58" i="1"/>
  <c r="J58" i="1" s="1"/>
  <c r="K44" i="1"/>
  <c r="K47" i="1"/>
  <c r="H18" i="1"/>
  <c r="H19" i="1"/>
  <c r="H20" i="1"/>
  <c r="H21" i="1"/>
  <c r="H22" i="1"/>
  <c r="H23" i="1"/>
  <c r="H24" i="1"/>
  <c r="H25" i="1"/>
  <c r="H26" i="1"/>
  <c r="H27" i="1"/>
  <c r="H28" i="1"/>
  <c r="H29" i="1"/>
  <c r="H30" i="1"/>
  <c r="H31" i="1"/>
  <c r="H32" i="1"/>
  <c r="H33" i="1"/>
  <c r="H34" i="1"/>
  <c r="H35" i="1"/>
  <c r="H36" i="1"/>
  <c r="H17" i="1"/>
  <c r="I18" i="1"/>
  <c r="I19" i="1"/>
  <c r="I20" i="1"/>
  <c r="I21" i="1"/>
  <c r="I22" i="1"/>
  <c r="I23" i="1"/>
  <c r="I24" i="1"/>
  <c r="I25" i="1"/>
  <c r="I26" i="1"/>
  <c r="I27" i="1"/>
  <c r="I28" i="1"/>
  <c r="I29" i="1"/>
  <c r="I30" i="1"/>
  <c r="I31" i="1"/>
  <c r="I32" i="1"/>
  <c r="I33" i="1"/>
  <c r="I34" i="1"/>
  <c r="I35" i="1"/>
  <c r="I36" i="1"/>
  <c r="I17" i="1"/>
  <c r="H65" i="1"/>
  <c r="J65" i="1" s="1"/>
  <c r="K45" i="1" l="1"/>
  <c r="K46" i="1"/>
  <c r="K37" i="1"/>
  <c r="F2" i="12" l="1"/>
  <c r="B5" i="12" s="1"/>
  <c r="O25" i="13"/>
  <c r="O13" i="13"/>
  <c r="O5" i="13"/>
  <c r="M29" i="7"/>
  <c r="O30" i="7"/>
  <c r="N29" i="7"/>
  <c r="K26" i="7"/>
  <c r="J26" i="7"/>
  <c r="I26" i="7"/>
  <c r="K19" i="7"/>
  <c r="J19" i="7"/>
  <c r="I19" i="7"/>
  <c r="C49" i="12"/>
  <c r="D49" i="12"/>
  <c r="E49" i="12"/>
  <c r="F49" i="12"/>
  <c r="G49" i="12"/>
  <c r="H49" i="12"/>
  <c r="I49" i="12"/>
  <c r="J49" i="12"/>
  <c r="K49" i="12"/>
  <c r="L49" i="12"/>
  <c r="M49" i="12"/>
  <c r="B49" i="12"/>
  <c r="G46" i="7"/>
  <c r="G47" i="7"/>
  <c r="G48" i="7"/>
  <c r="G49" i="7"/>
  <c r="G50" i="7"/>
  <c r="G56" i="7"/>
  <c r="G39" i="7"/>
  <c r="G40" i="7"/>
  <c r="G41" i="7"/>
  <c r="G42" i="7"/>
  <c r="G43" i="7"/>
  <c r="O31" i="7"/>
  <c r="N31" i="7"/>
  <c r="M31" i="7"/>
  <c r="L31" i="7"/>
  <c r="E27" i="7"/>
  <c r="O27" i="7" s="1"/>
  <c r="O14" i="7"/>
  <c r="O15" i="7"/>
  <c r="O17" i="7"/>
  <c r="O19" i="7"/>
  <c r="O20" i="7"/>
  <c r="O21" i="7"/>
  <c r="O22" i="7"/>
  <c r="O23" i="7"/>
  <c r="O24" i="7"/>
  <c r="O26" i="7"/>
  <c r="N14" i="7"/>
  <c r="N15" i="7"/>
  <c r="N17" i="7"/>
  <c r="N19" i="7"/>
  <c r="N20" i="7"/>
  <c r="N21" i="7"/>
  <c r="N22" i="7"/>
  <c r="N23" i="7"/>
  <c r="N24" i="7"/>
  <c r="N26" i="7"/>
  <c r="N30" i="7"/>
  <c r="M14" i="7"/>
  <c r="M15" i="7"/>
  <c r="M17" i="7"/>
  <c r="M19" i="7"/>
  <c r="M20" i="7"/>
  <c r="M21" i="7"/>
  <c r="M22" i="7"/>
  <c r="M23" i="7"/>
  <c r="M24" i="7"/>
  <c r="M26" i="7"/>
  <c r="M30" i="7"/>
  <c r="L14" i="7"/>
  <c r="L15" i="7"/>
  <c r="L17" i="7"/>
  <c r="L19" i="7"/>
  <c r="L20" i="7"/>
  <c r="L21" i="7"/>
  <c r="L22" i="7"/>
  <c r="L23" i="7"/>
  <c r="L24" i="7"/>
  <c r="L26" i="7"/>
  <c r="L30" i="7"/>
  <c r="E28" i="7"/>
  <c r="N49" i="12" l="1"/>
  <c r="I50" i="12" s="1"/>
  <c r="H50" i="12"/>
  <c r="G50" i="12"/>
  <c r="E50" i="12"/>
  <c r="D50" i="12"/>
  <c r="J50" i="12"/>
  <c r="B50" i="12"/>
  <c r="N50" i="12" s="1"/>
  <c r="F50" i="12"/>
  <c r="M50" i="12"/>
  <c r="L50" i="12"/>
  <c r="K50" i="12"/>
  <c r="C50" i="12"/>
  <c r="L29" i="7"/>
  <c r="O29" i="7"/>
  <c r="G29" i="7"/>
  <c r="G27" i="7"/>
  <c r="M27" i="7"/>
  <c r="L27" i="7"/>
  <c r="N27" i="7"/>
  <c r="C52" i="12"/>
  <c r="D52" i="12"/>
  <c r="E52" i="12"/>
  <c r="J52" i="12"/>
  <c r="K52" i="12"/>
  <c r="L52" i="12"/>
  <c r="M52" i="12"/>
  <c r="N51" i="12"/>
  <c r="F52" i="12" s="1"/>
  <c r="N15" i="12"/>
  <c r="E54" i="7"/>
  <c r="N14" i="12" s="1"/>
  <c r="E53" i="7"/>
  <c r="N13" i="12" s="1"/>
  <c r="I52" i="12" l="1"/>
  <c r="H52" i="12"/>
  <c r="G52" i="12"/>
  <c r="B52" i="12"/>
  <c r="D15" i="12"/>
  <c r="B14" i="12"/>
  <c r="C14" i="12" s="1"/>
  <c r="D14" i="12" s="1"/>
  <c r="E14" i="12" s="1"/>
  <c r="F14" i="12" s="1"/>
  <c r="G14" i="12" s="1"/>
  <c r="H14" i="12" s="1"/>
  <c r="I14" i="12" s="1"/>
  <c r="J14" i="12" s="1"/>
  <c r="K14" i="12" s="1"/>
  <c r="L14" i="12" s="1"/>
  <c r="M14" i="12" s="1"/>
  <c r="N52" i="12" l="1"/>
  <c r="H15" i="12"/>
  <c r="C15" i="12"/>
  <c r="M15" i="12"/>
  <c r="J15" i="12"/>
  <c r="G15" i="12"/>
  <c r="I15" i="12"/>
  <c r="K15" i="12"/>
  <c r="L15" i="12"/>
  <c r="B15" i="12"/>
  <c r="F15" i="12"/>
  <c r="E15" i="12"/>
  <c r="P14" i="12"/>
  <c r="P15" i="12" l="1"/>
  <c r="A34" i="5"/>
  <c r="I4" i="7"/>
  <c r="O23" i="13" l="1"/>
  <c r="N24" i="13"/>
  <c r="M24" i="13"/>
  <c r="L24" i="13"/>
  <c r="K24" i="13"/>
  <c r="J24" i="13"/>
  <c r="I24" i="13"/>
  <c r="H24" i="13"/>
  <c r="G24" i="13"/>
  <c r="F24" i="13"/>
  <c r="E24" i="13"/>
  <c r="D24" i="13"/>
  <c r="O22" i="13"/>
  <c r="K21" i="13"/>
  <c r="C21" i="13"/>
  <c r="N21" i="13"/>
  <c r="N26" i="13" s="1"/>
  <c r="F21" i="13"/>
  <c r="F26" i="13" s="1"/>
  <c r="J12" i="13"/>
  <c r="I12" i="13"/>
  <c r="E12" i="13"/>
  <c r="D12" i="13"/>
  <c r="N9" i="13"/>
  <c r="M9" i="13"/>
  <c r="L9" i="13"/>
  <c r="K9" i="13"/>
  <c r="J9" i="13"/>
  <c r="I9" i="13"/>
  <c r="H9" i="13"/>
  <c r="G9" i="13"/>
  <c r="F9" i="13"/>
  <c r="E9" i="13"/>
  <c r="D9" i="13"/>
  <c r="K26" i="13" l="1"/>
  <c r="D14" i="13"/>
  <c r="E14" i="13"/>
  <c r="I14" i="13"/>
  <c r="I21" i="13"/>
  <c r="I26" i="13" s="1"/>
  <c r="D21" i="13"/>
  <c r="D26" i="13" s="1"/>
  <c r="L21" i="13"/>
  <c r="L26" i="13" s="1"/>
  <c r="O20" i="13"/>
  <c r="H21" i="13"/>
  <c r="H26" i="13" s="1"/>
  <c r="J21" i="13"/>
  <c r="J26" i="13" s="1"/>
  <c r="E21" i="13"/>
  <c r="E26" i="13" s="1"/>
  <c r="M21" i="13"/>
  <c r="M26" i="13" s="1"/>
  <c r="O19" i="13"/>
  <c r="G21" i="13"/>
  <c r="G26" i="13" s="1"/>
  <c r="C24" i="13"/>
  <c r="O24" i="13" s="1"/>
  <c r="L12" i="13"/>
  <c r="L14" i="13" s="1"/>
  <c r="M12" i="13"/>
  <c r="M14" i="13" s="1"/>
  <c r="J14" i="13"/>
  <c r="K12" i="13"/>
  <c r="K14" i="13" s="1"/>
  <c r="O11" i="13"/>
  <c r="F12" i="13"/>
  <c r="F14" i="13" s="1"/>
  <c r="N12" i="13"/>
  <c r="N14" i="13" s="1"/>
  <c r="O6" i="13"/>
  <c r="G12" i="13"/>
  <c r="G14" i="13" s="1"/>
  <c r="H12" i="13"/>
  <c r="H14" i="13" s="1"/>
  <c r="C12" i="13"/>
  <c r="O21" i="13" l="1"/>
  <c r="C26" i="13"/>
  <c r="O10" i="13"/>
  <c r="O12" i="13"/>
  <c r="O8" i="13"/>
  <c r="O27" i="13" l="1"/>
  <c r="O26" i="13"/>
  <c r="O7" i="13" l="1"/>
  <c r="C9" i="13"/>
  <c r="O9" i="13" l="1"/>
  <c r="C14" i="13"/>
  <c r="O15" i="13" l="1"/>
  <c r="O14" i="13"/>
  <c r="I31" i="5" l="1"/>
  <c r="F5" i="12"/>
  <c r="F17" i="12" s="1"/>
  <c r="N27" i="12"/>
  <c r="N28" i="12"/>
  <c r="N29" i="12"/>
  <c r="N30" i="12"/>
  <c r="N31" i="12"/>
  <c r="N32" i="12"/>
  <c r="N33" i="12"/>
  <c r="N34" i="12"/>
  <c r="N35" i="12"/>
  <c r="N36" i="12"/>
  <c r="N37" i="12"/>
  <c r="N38" i="12"/>
  <c r="N39" i="12"/>
  <c r="N40" i="12"/>
  <c r="N41" i="12"/>
  <c r="N42" i="12"/>
  <c r="N43" i="12"/>
  <c r="N44" i="12"/>
  <c r="N45" i="12"/>
  <c r="N46" i="12"/>
  <c r="N47" i="12"/>
  <c r="N26" i="12"/>
  <c r="M10" i="12"/>
  <c r="L10" i="12"/>
  <c r="K10" i="12"/>
  <c r="J10" i="12"/>
  <c r="I10" i="12"/>
  <c r="H10" i="12"/>
  <c r="G10" i="12"/>
  <c r="F10" i="12"/>
  <c r="E10" i="12"/>
  <c r="D10" i="12"/>
  <c r="C10" i="12"/>
  <c r="B10" i="12"/>
  <c r="N7" i="12"/>
  <c r="N6" i="12"/>
  <c r="G5" i="12" l="1"/>
  <c r="G17" i="12" s="1"/>
  <c r="H5" i="12"/>
  <c r="H17" i="12" s="1"/>
  <c r="I5" i="12"/>
  <c r="I17" i="12" s="1"/>
  <c r="J5" i="12"/>
  <c r="J17" i="12" s="1"/>
  <c r="C5" i="12"/>
  <c r="C17" i="12" s="1"/>
  <c r="K5" i="12"/>
  <c r="K17" i="12" s="1"/>
  <c r="B17" i="12"/>
  <c r="D5" i="12"/>
  <c r="D17" i="12" s="1"/>
  <c r="L5" i="12"/>
  <c r="L17" i="12" s="1"/>
  <c r="E5" i="12"/>
  <c r="E17" i="12" s="1"/>
  <c r="M5" i="12"/>
  <c r="M17" i="12" s="1"/>
  <c r="N5" i="12" l="1"/>
  <c r="N17" i="12"/>
  <c r="L64" i="7" s="1"/>
  <c r="K18" i="5" l="1"/>
  <c r="J18" i="5"/>
  <c r="K30" i="7"/>
  <c r="J30" i="7"/>
  <c r="I30" i="7"/>
  <c r="G30" i="7"/>
  <c r="K56" i="7"/>
  <c r="J56" i="7"/>
  <c r="M56" i="7" s="1"/>
  <c r="I56" i="7"/>
  <c r="L56" i="7" s="1"/>
  <c r="N56" i="7" s="1"/>
  <c r="O63" i="7"/>
  <c r="J48" i="7"/>
  <c r="I48" i="7"/>
  <c r="J47" i="7"/>
  <c r="I47" i="7"/>
  <c r="J46" i="7"/>
  <c r="I46" i="7"/>
  <c r="J41" i="7"/>
  <c r="I41" i="7"/>
  <c r="J40" i="7"/>
  <c r="I40" i="7"/>
  <c r="J39" i="7"/>
  <c r="I39" i="7"/>
  <c r="K48" i="7"/>
  <c r="K47" i="7"/>
  <c r="K46" i="7"/>
  <c r="K41" i="7"/>
  <c r="K40" i="7"/>
  <c r="K39" i="7"/>
  <c r="K24" i="7"/>
  <c r="K22" i="7"/>
  <c r="K21" i="7"/>
  <c r="K20" i="7"/>
  <c r="K18" i="7"/>
  <c r="K17" i="7"/>
  <c r="K14" i="7"/>
  <c r="K15" i="7"/>
  <c r="J14" i="7"/>
  <c r="J15" i="7"/>
  <c r="J17" i="7"/>
  <c r="J18" i="7"/>
  <c r="J20" i="7"/>
  <c r="J21" i="7"/>
  <c r="J22" i="7"/>
  <c r="J24" i="7"/>
  <c r="I14" i="7"/>
  <c r="I15" i="7"/>
  <c r="I17" i="7"/>
  <c r="I18" i="7"/>
  <c r="I20" i="7"/>
  <c r="I21" i="7"/>
  <c r="I22" i="7"/>
  <c r="I24" i="7"/>
  <c r="O61" i="7"/>
  <c r="K55" i="7"/>
  <c r="O55" i="7" s="1"/>
  <c r="D51" i="7"/>
  <c r="K49" i="7"/>
  <c r="J49" i="7"/>
  <c r="I49" i="7"/>
  <c r="O48" i="7"/>
  <c r="N48" i="7"/>
  <c r="M48" i="7"/>
  <c r="L48" i="7"/>
  <c r="K42" i="7"/>
  <c r="J42" i="7"/>
  <c r="I42" i="7"/>
  <c r="M40" i="7"/>
  <c r="L40" i="7"/>
  <c r="N40" i="7" s="1"/>
  <c r="C13" i="12" l="1"/>
  <c r="F13" i="12"/>
  <c r="I13" i="12"/>
  <c r="J13" i="12"/>
  <c r="B13" i="12"/>
  <c r="G13" i="12"/>
  <c r="L13" i="12"/>
  <c r="H13" i="12"/>
  <c r="D13" i="12"/>
  <c r="K13" i="12"/>
  <c r="M13" i="12"/>
  <c r="E13" i="12"/>
  <c r="O56" i="7"/>
  <c r="K53" i="7"/>
  <c r="I53" i="7"/>
  <c r="I55" i="7"/>
  <c r="L55" i="7" s="1"/>
  <c r="J53" i="7"/>
  <c r="J55" i="7"/>
  <c r="M55" i="7" s="1"/>
  <c r="M50" i="7"/>
  <c r="M39" i="7"/>
  <c r="O41" i="7"/>
  <c r="M43" i="7"/>
  <c r="M47" i="7"/>
  <c r="L41" i="7"/>
  <c r="M41" i="7"/>
  <c r="N41" i="7" s="1"/>
  <c r="O40" i="7"/>
  <c r="O42" i="7"/>
  <c r="O49" i="7"/>
  <c r="L46" i="7"/>
  <c r="L50" i="7"/>
  <c r="O39" i="7"/>
  <c r="O43" i="7"/>
  <c r="O47" i="7"/>
  <c r="L39" i="7"/>
  <c r="M42" i="7"/>
  <c r="L43" i="7"/>
  <c r="O46" i="7"/>
  <c r="M49" i="7"/>
  <c r="L42" i="7"/>
  <c r="L49" i="7"/>
  <c r="N49" i="7" s="1"/>
  <c r="L47" i="7"/>
  <c r="N47" i="7" s="1"/>
  <c r="O50" i="7"/>
  <c r="M46" i="7"/>
  <c r="K23" i="7"/>
  <c r="G28" i="7"/>
  <c r="G26" i="7"/>
  <c r="G24" i="7"/>
  <c r="G23" i="7"/>
  <c r="G22" i="7"/>
  <c r="G21" i="7"/>
  <c r="G20" i="7"/>
  <c r="G19" i="7"/>
  <c r="G18" i="7"/>
  <c r="G17" i="7"/>
  <c r="G15" i="7"/>
  <c r="G14" i="7"/>
  <c r="D25" i="7"/>
  <c r="F22" i="10"/>
  <c r="F19" i="10"/>
  <c r="F18" i="10"/>
  <c r="M18" i="7" l="1"/>
  <c r="L18" i="7"/>
  <c r="O18" i="7"/>
  <c r="P13" i="12"/>
  <c r="N46" i="7"/>
  <c r="K27" i="7"/>
  <c r="J27" i="7"/>
  <c r="I27" i="7"/>
  <c r="I54" i="7"/>
  <c r="K54" i="7"/>
  <c r="J54" i="7"/>
  <c r="N50" i="7"/>
  <c r="N43" i="7"/>
  <c r="N39" i="7"/>
  <c r="N42" i="7"/>
  <c r="N18" i="7" l="1"/>
  <c r="I29" i="7"/>
  <c r="K29" i="7"/>
  <c r="J29" i="7"/>
  <c r="K28" i="7"/>
  <c r="O28" i="7" s="1"/>
  <c r="I28" i="7"/>
  <c r="L28" i="7" s="1"/>
  <c r="J28" i="7"/>
  <c r="M28" i="7" s="1"/>
  <c r="D54" i="1"/>
  <c r="J54" i="1" s="1"/>
  <c r="I34" i="5"/>
  <c r="K43" i="1" l="1"/>
  <c r="N28" i="7"/>
  <c r="D34" i="5"/>
  <c r="C34" i="5"/>
  <c r="J60" i="1"/>
  <c r="K48" i="1" l="1"/>
  <c r="J70" i="1" s="1"/>
  <c r="H70" i="1" s="1"/>
  <c r="E34" i="5"/>
  <c r="F34" i="5"/>
  <c r="G34" i="5"/>
  <c r="H34" i="5"/>
  <c r="J34" i="5"/>
  <c r="K34" i="5"/>
  <c r="L34" i="5"/>
  <c r="M34" i="5"/>
  <c r="N34" i="5"/>
  <c r="D35" i="5"/>
  <c r="E35" i="5"/>
  <c r="F35" i="5"/>
  <c r="G35" i="5"/>
  <c r="H35" i="5"/>
  <c r="I35" i="5"/>
  <c r="J35" i="5"/>
  <c r="K35" i="5"/>
  <c r="L35" i="5"/>
  <c r="M35" i="5"/>
  <c r="N35" i="5"/>
  <c r="G36" i="5"/>
  <c r="H36" i="5"/>
  <c r="I36" i="5"/>
  <c r="J36" i="5"/>
  <c r="K36" i="5"/>
  <c r="G37" i="5"/>
  <c r="H37" i="5"/>
  <c r="I37" i="5"/>
  <c r="J37" i="5"/>
  <c r="K37" i="5"/>
  <c r="G38" i="5"/>
  <c r="H38" i="5"/>
  <c r="I38" i="5"/>
  <c r="J38" i="5"/>
  <c r="K38" i="5"/>
  <c r="G31" i="5"/>
  <c r="P59" i="5"/>
  <c r="O59" i="5" s="1"/>
  <c r="P58" i="5"/>
  <c r="O58" i="5" s="1"/>
  <c r="P57" i="5"/>
  <c r="O57" i="5" s="1"/>
  <c r="P56" i="5"/>
  <c r="O56" i="5" s="1"/>
  <c r="P55" i="5"/>
  <c r="O55" i="5" s="1"/>
  <c r="P47" i="5"/>
  <c r="O47" i="5" s="1"/>
  <c r="P46" i="5"/>
  <c r="O46" i="5" s="1"/>
  <c r="P45" i="5"/>
  <c r="O45" i="5" s="1"/>
  <c r="P44" i="5"/>
  <c r="O44" i="5" s="1"/>
  <c r="P43" i="5"/>
  <c r="O43" i="5" s="1"/>
  <c r="P28" i="5"/>
  <c r="O28" i="5" s="1"/>
  <c r="P27" i="5"/>
  <c r="O27" i="5" s="1"/>
  <c r="P26" i="5"/>
  <c r="O26" i="5" s="1"/>
  <c r="P25" i="5"/>
  <c r="O25" i="5" s="1"/>
  <c r="P24" i="5"/>
  <c r="O24" i="5" s="1"/>
  <c r="P11" i="5"/>
  <c r="O11" i="5" s="1"/>
  <c r="P12" i="5"/>
  <c r="O12" i="5" s="1"/>
  <c r="P13" i="5"/>
  <c r="O13" i="5" s="1"/>
  <c r="P14" i="5"/>
  <c r="O14" i="5" s="1"/>
  <c r="P10" i="5"/>
  <c r="O10" i="5" s="1"/>
  <c r="O60" i="5" l="1"/>
  <c r="O15" i="5"/>
  <c r="O29" i="5"/>
  <c r="O48" i="5"/>
  <c r="B65" i="7" s="1"/>
  <c r="N36" i="5"/>
  <c r="M36" i="5"/>
  <c r="E36" i="5"/>
  <c r="N38" i="5"/>
  <c r="F38" i="5"/>
  <c r="L36" i="5"/>
  <c r="D36" i="5"/>
  <c r="M38" i="5"/>
  <c r="E38" i="5"/>
  <c r="N37" i="5"/>
  <c r="F37" i="5"/>
  <c r="L38" i="5"/>
  <c r="M37" i="5"/>
  <c r="E37" i="5"/>
  <c r="D38" i="5"/>
  <c r="L37" i="5"/>
  <c r="D37" i="5"/>
  <c r="F36" i="5"/>
  <c r="C38" i="5"/>
  <c r="C35" i="5"/>
  <c r="C37" i="5"/>
  <c r="C36" i="5"/>
  <c r="F10" i="10" l="1"/>
  <c r="A35" i="5"/>
  <c r="A36" i="5"/>
  <c r="A37" i="5"/>
  <c r="A38" i="5"/>
  <c r="G25" i="7" l="1"/>
  <c r="I25" i="7"/>
  <c r="L25" i="7" s="1"/>
  <c r="J25" i="7"/>
  <c r="M25" i="7" s="1"/>
  <c r="K25" i="7"/>
  <c r="O25" i="7" s="1"/>
  <c r="N25" i="7"/>
  <c r="F21" i="10"/>
  <c r="F23" i="10" s="1"/>
  <c r="E24" i="10" s="1"/>
  <c r="F12" i="10"/>
  <c r="G16" i="7"/>
  <c r="K16" i="7"/>
  <c r="N12" i="12" l="1"/>
  <c r="K51" i="7"/>
  <c r="I51" i="7"/>
  <c r="J51" i="7"/>
  <c r="J52" i="7"/>
  <c r="G52" i="7"/>
  <c r="I52" i="7"/>
  <c r="K52" i="7"/>
  <c r="M52" i="7"/>
  <c r="L52" i="7"/>
  <c r="O52" i="7"/>
  <c r="N52" i="7"/>
  <c r="E13" i="10"/>
  <c r="D13" i="10"/>
  <c r="C13" i="10"/>
  <c r="O16" i="7"/>
  <c r="M16" i="7"/>
  <c r="L16" i="7"/>
  <c r="P35" i="5"/>
  <c r="O35" i="5" s="1"/>
  <c r="E12" i="12" l="1"/>
  <c r="M12" i="12"/>
  <c r="C12" i="12"/>
  <c r="I12" i="12"/>
  <c r="F12" i="12"/>
  <c r="J12" i="12"/>
  <c r="B12" i="12"/>
  <c r="G12" i="12"/>
  <c r="K12" i="12"/>
  <c r="H12" i="12"/>
  <c r="D12" i="12"/>
  <c r="L12" i="12"/>
  <c r="J23" i="7"/>
  <c r="I23" i="7"/>
  <c r="I16" i="7"/>
  <c r="J16" i="7"/>
  <c r="N16" i="7"/>
  <c r="P34" i="5"/>
  <c r="O34" i="5" s="1"/>
  <c r="P36" i="5"/>
  <c r="O36" i="5" s="1"/>
  <c r="P38" i="5"/>
  <c r="O38" i="5" s="1"/>
  <c r="P37" i="5"/>
  <c r="O37" i="5" s="1"/>
  <c r="P12" i="12" l="1"/>
  <c r="O39" i="5"/>
  <c r="C13" i="7" l="1"/>
  <c r="K13" i="7"/>
  <c r="I13" i="7"/>
  <c r="J13" i="7"/>
  <c r="G13" i="7"/>
  <c r="O13" i="7" l="1"/>
  <c r="O32" i="7" s="1"/>
  <c r="M13" i="7"/>
  <c r="M32" i="7" s="1"/>
  <c r="L13" i="7"/>
  <c r="L32" i="7" s="1"/>
  <c r="N13" i="7" l="1"/>
  <c r="N32" i="7" s="1"/>
  <c r="N11" i="12" l="1"/>
  <c r="D11" i="12" s="1"/>
  <c r="G57" i="7"/>
  <c r="G45" i="7"/>
  <c r="K45" i="7"/>
  <c r="O45" i="7" s="1"/>
  <c r="I45" i="7"/>
  <c r="L45" i="7" s="1"/>
  <c r="J45" i="7"/>
  <c r="M45" i="7" s="1"/>
  <c r="K44" i="7"/>
  <c r="J44" i="7"/>
  <c r="I44" i="7"/>
  <c r="G11" i="12" l="1"/>
  <c r="F11" i="12"/>
  <c r="K11" i="12"/>
  <c r="E11" i="12"/>
  <c r="J11" i="12"/>
  <c r="J16" i="12" s="1"/>
  <c r="I11" i="12"/>
  <c r="I16" i="12" s="1"/>
  <c r="H11" i="12"/>
  <c r="H16" i="12" s="1"/>
  <c r="M11" i="12"/>
  <c r="M16" i="12" s="1"/>
  <c r="L11" i="12"/>
  <c r="B11" i="12"/>
  <c r="C11" i="12"/>
  <c r="L57" i="7"/>
  <c r="N57" i="7" s="1"/>
  <c r="O57" i="7"/>
  <c r="M57" i="7"/>
  <c r="N45" i="7"/>
  <c r="C16" i="12"/>
  <c r="D16" i="12"/>
  <c r="K16" i="12"/>
  <c r="E16" i="12"/>
  <c r="L16" i="12"/>
  <c r="F16" i="12"/>
  <c r="G16" i="12"/>
  <c r="G18" i="12" l="1"/>
  <c r="G19" i="12" s="1"/>
  <c r="G20" i="12"/>
  <c r="K18" i="12"/>
  <c r="K19" i="12" s="1"/>
  <c r="K20" i="12"/>
  <c r="F18" i="12"/>
  <c r="F19" i="12" s="1"/>
  <c r="F20" i="12"/>
  <c r="P11" i="12"/>
  <c r="B16" i="12"/>
  <c r="L20" i="12"/>
  <c r="L18" i="12"/>
  <c r="L19" i="12" s="1"/>
  <c r="C20" i="12"/>
  <c r="C18" i="12"/>
  <c r="C19" i="12" s="1"/>
  <c r="D18" i="12"/>
  <c r="D19" i="12" s="1"/>
  <c r="D20" i="12"/>
  <c r="M18" i="12"/>
  <c r="M19" i="12" s="1"/>
  <c r="M20" i="12"/>
  <c r="H18" i="12"/>
  <c r="H19" i="12" s="1"/>
  <c r="H20" i="12"/>
  <c r="J18" i="12"/>
  <c r="J19" i="12" s="1"/>
  <c r="J20" i="12"/>
  <c r="I18" i="12"/>
  <c r="I19" i="12" s="1"/>
  <c r="I20" i="12"/>
  <c r="O44" i="7"/>
  <c r="L44" i="7"/>
  <c r="M44" i="7"/>
  <c r="E20" i="12"/>
  <c r="E18" i="12"/>
  <c r="E19" i="12" s="1"/>
  <c r="N44" i="7" l="1"/>
  <c r="B20" i="12"/>
  <c r="N20" i="12" s="1"/>
  <c r="B18" i="12"/>
  <c r="N16" i="12"/>
  <c r="B19" i="12" l="1"/>
  <c r="N19" i="12" s="1"/>
  <c r="N18" i="12"/>
  <c r="O51" i="7"/>
  <c r="L51" i="7"/>
  <c r="M51" i="7"/>
  <c r="O53" i="7" l="1"/>
  <c r="L53" i="7"/>
  <c r="M53" i="7"/>
  <c r="N51" i="7"/>
  <c r="N53" i="7" l="1"/>
  <c r="O54" i="7" l="1"/>
  <c r="M54" i="7"/>
  <c r="L54" i="7"/>
  <c r="L58" i="7" l="1"/>
  <c r="M58" i="7"/>
  <c r="O58" i="7"/>
  <c r="N54" i="7"/>
  <c r="I6" i="7" l="1"/>
  <c r="N55" i="7"/>
  <c r="N58" i="7" l="1"/>
  <c r="I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Modris</author>
  </authors>
  <commentList>
    <comment ref="C9" authorId="0" shapeId="0" xr:uid="{00000000-0006-0000-0400-000001000000}">
      <text>
        <r>
          <rPr>
            <b/>
            <sz val="9"/>
            <color indexed="81"/>
            <rFont val="Tahoma"/>
            <family val="2"/>
            <charset val="186"/>
          </rPr>
          <t>Modris:</t>
        </r>
        <r>
          <rPr>
            <sz val="9"/>
            <color indexed="81"/>
            <rFont val="Tahoma"/>
            <family val="2"/>
            <charset val="186"/>
          </rPr>
          <t xml:space="preserve">
Vērtībām jāatbilst MKN 222 1.pielikuma "Pārskats par ekonomiski pamatotiem ēkas norobežojošo konstrukciju un inženiersistēmu energoefektivitāti uzlabojošiem pasākumiem, kuru īstenošanas izmaksas ir rentablas paredzamajā (plānotajā) kalpošanas laikā" 2.5.punktā norādītajām esošās situācijas vērtībām .</t>
        </r>
      </text>
    </comment>
    <comment ref="C35" authorId="0" shapeId="0" xr:uid="{00000000-0006-0000-0400-000002000000}">
      <text>
        <r>
          <rPr>
            <b/>
            <sz val="9"/>
            <color indexed="81"/>
            <rFont val="Tahoma"/>
            <family val="2"/>
            <charset val="186"/>
          </rPr>
          <t>Modris:</t>
        </r>
        <r>
          <rPr>
            <sz val="9"/>
            <color indexed="81"/>
            <rFont val="Tahoma"/>
            <family val="2"/>
            <charset val="186"/>
          </rPr>
          <t xml:space="preserve">
Vērtībām jāatbilst MKN 222 1.pielikuma "Pārskats par ekonomiski pamatotiem ēkas norobežojošo konstrukciju un inženiersistēmu energoefektivitāti uzlabojošiem pasākumiem, kuru īstenošanas izmaksas ir rentablas paredzamajā (plānotajā) kalpošanas laikā" 2.5.punktā norādītajām esošās situācijas vērtībām .</t>
        </r>
      </text>
    </comment>
  </commentList>
</comments>
</file>

<file path=xl/sharedStrings.xml><?xml version="1.0" encoding="utf-8"?>
<sst xmlns="http://schemas.openxmlformats.org/spreadsheetml/2006/main" count="812" uniqueCount="360">
  <si>
    <t xml:space="preserve">NB! </t>
  </si>
  <si>
    <r>
      <t xml:space="preserve">Dokumenta 1.lapu - 6.lapu </t>
    </r>
    <r>
      <rPr>
        <b/>
        <u/>
        <sz val="11"/>
        <color rgb="FFFF0000"/>
        <rFont val="Times New Roman"/>
        <family val="1"/>
        <charset val="186"/>
      </rPr>
      <t>secīgi</t>
    </r>
    <r>
      <rPr>
        <sz val="11"/>
        <color rgb="FFFF0000"/>
        <rFont val="Times New Roman"/>
        <family val="1"/>
        <charset val="186"/>
      </rPr>
      <t xml:space="preserve"> aizpilda neatkarīgs eksperts ēku energoefektivitātes jomā</t>
    </r>
  </si>
  <si>
    <t>1. Energoresursu patēriņa uzskaite*</t>
  </si>
  <si>
    <r>
      <t xml:space="preserve">*Piezīme. </t>
    </r>
    <r>
      <rPr>
        <b/>
        <sz val="11"/>
        <color theme="1"/>
        <rFont val="Times New Roman"/>
        <family val="1"/>
        <charset val="186"/>
      </rPr>
      <t>Bez klimata korekcijas</t>
    </r>
    <r>
      <rPr>
        <sz val="11"/>
        <color theme="1"/>
        <rFont val="Times New Roman"/>
        <family val="1"/>
        <charset val="186"/>
      </rPr>
      <t xml:space="preserve"> atbilstoši MK noteikumu Nr. 709 p.15 nosacījumiem. Gadījumā, ja ēkas ekspluatāciju ietekmēja C-19, tad var izmantot četrus kalendāros gadus </t>
    </r>
    <r>
      <rPr>
        <b/>
        <sz val="11"/>
        <color theme="1"/>
        <rFont val="Times New Roman"/>
        <family val="1"/>
        <charset val="186"/>
      </rPr>
      <t>bez klimata korekcijas</t>
    </r>
    <r>
      <rPr>
        <sz val="11"/>
        <color theme="1"/>
        <rFont val="Times New Roman"/>
        <family val="1"/>
        <charset val="186"/>
      </rPr>
      <t>.</t>
    </r>
  </si>
  <si>
    <t>Adrese:</t>
  </si>
  <si>
    <t>izvēlnes šūnas</t>
  </si>
  <si>
    <t>Kadastra apzīmējums</t>
  </si>
  <si>
    <t>šūnas, kuras jāaizpilda, ja nepieciešams</t>
  </si>
  <si>
    <t>1.1.</t>
  </si>
  <si>
    <t>Siltumenerģija no siltuma piegādātāja, MWh</t>
  </si>
  <si>
    <t>Gads</t>
  </si>
  <si>
    <t>janv</t>
  </si>
  <si>
    <t>febr</t>
  </si>
  <si>
    <t>marts</t>
  </si>
  <si>
    <t>apr</t>
  </si>
  <si>
    <t>maijs</t>
  </si>
  <si>
    <t>jūn</t>
  </si>
  <si>
    <t>jūl</t>
  </si>
  <si>
    <t>aug</t>
  </si>
  <si>
    <t>sept</t>
  </si>
  <si>
    <t>okt</t>
  </si>
  <si>
    <t>nov</t>
  </si>
  <si>
    <t>dec</t>
  </si>
  <si>
    <t>Kopā</t>
  </si>
  <si>
    <t>Vidēji:</t>
  </si>
  <si>
    <t>Cita informācija:</t>
  </si>
  <si>
    <t>eksperts norāda, kā ir iegūtas vērtības, – vai norādītas izmērītās vai aprēķinātās vērtības un sniedz skaidrojumu.</t>
  </si>
  <si>
    <t>1.2.1.</t>
  </si>
  <si>
    <t>Kurināmais uzskaitītajās mērvienībās</t>
  </si>
  <si>
    <t>Kurināmā veids,</t>
  </si>
  <si>
    <t>, kurināmā zemākā siltumspēja**</t>
  </si>
  <si>
    <t>Apkures katla vidējais lietderības koeficients, kas noteikts pēc kurināmā zemākās siltumspējas***</t>
  </si>
  <si>
    <t>Pārvades siltuma zudumi</t>
  </si>
  <si>
    <t>(%, ja apkures katls atrodas ārpus ēkas kondicionētās zonas robežas)</t>
  </si>
  <si>
    <t>Patēriņš uzskaitītajās mērvienībās</t>
  </si>
  <si>
    <r>
      <t>(norādāma mērvienību, piemēram., kg, m</t>
    </r>
    <r>
      <rPr>
        <vertAlign val="superscript"/>
        <sz val="10"/>
        <rFont val="Times New Roman"/>
        <family val="1"/>
        <charset val="186"/>
      </rPr>
      <t>3</t>
    </r>
    <r>
      <rPr>
        <sz val="10"/>
        <rFont val="Times New Roman"/>
        <family val="1"/>
        <charset val="186"/>
      </rPr>
      <t>, l)</t>
    </r>
  </si>
  <si>
    <t>Piezīmes. ** LVS EN ISO 52000-1, NA13b.tabula</t>
  </si>
  <si>
    <r>
      <t>*** Atbilstoši apkures sistēmas pārbaudes aktam, ja katla nominālā jauda ir lielāka par 70 kW vai apkures sistēmas nominālā jauda ir lielāka par 70 kW vai ēkas references platība ir lielāka par 1500 m</t>
    </r>
    <r>
      <rPr>
        <b/>
        <vertAlign val="superscript"/>
        <sz val="9"/>
        <color theme="1"/>
        <rFont val="Times New Roman"/>
        <family val="1"/>
        <charset val="186"/>
      </rPr>
      <t>2</t>
    </r>
    <r>
      <rPr>
        <b/>
        <sz val="9"/>
        <color theme="1"/>
        <rFont val="Times New Roman"/>
        <family val="1"/>
        <charset val="186"/>
      </rPr>
      <t>.</t>
    </r>
  </si>
  <si>
    <t>Konversijas koeficients no</t>
  </si>
  <si>
    <t>uz</t>
  </si>
  <si>
    <t>(norāda pārrēķina koeficientu, piemēram, no berama m3 uz cieš.m3. MK Nr.42 2.pielikuma 3.tabula.)</t>
  </si>
  <si>
    <t>https://likumi.lv/ta/id/296651-siltumnicefekta-gazu-emisiju-aprekina-metodika</t>
  </si>
  <si>
    <t>1.2.2.</t>
  </si>
  <si>
    <t>Kurināmais, pārrēķināts uz MWh (bez pārvades siltuma zudumiem)</t>
  </si>
  <si>
    <t>Kurināmais</t>
  </si>
  <si>
    <t>zemākā siltumspēja</t>
  </si>
  <si>
    <t>Dīzeļdegviela</t>
  </si>
  <si>
    <t>kWh/kg</t>
  </si>
  <si>
    <t>kg</t>
  </si>
  <si>
    <t>Mazuts</t>
  </si>
  <si>
    <t>Sašķidrinātā naftas gāze</t>
  </si>
  <si>
    <t>Naftas kokss</t>
  </si>
  <si>
    <t>Ogles</t>
  </si>
  <si>
    <t>Kūdra</t>
  </si>
  <si>
    <t>Dabasgāze</t>
  </si>
  <si>
    <t>kWh/m3</t>
  </si>
  <si>
    <t>m3</t>
  </si>
  <si>
    <t>1.3.</t>
  </si>
  <si>
    <t>Elektroenerģija, MWh</t>
  </si>
  <si>
    <t>Malka</t>
  </si>
  <si>
    <t>kWh/cieš.m3</t>
  </si>
  <si>
    <t>cieš.m3</t>
  </si>
  <si>
    <t>Koksnes atlikumi</t>
  </si>
  <si>
    <t>kWh/ber.m3</t>
  </si>
  <si>
    <t>ber.m3</t>
  </si>
  <si>
    <t>Kurināma šķelda</t>
  </si>
  <si>
    <t>Koksnes briketes</t>
  </si>
  <si>
    <t>Koksnes granulas</t>
  </si>
  <si>
    <t>Biodīzeļdegviela</t>
  </si>
  <si>
    <t>Bioetalons</t>
  </si>
  <si>
    <t>Elektroenerģija no tīkla</t>
  </si>
  <si>
    <t>1.4.</t>
  </si>
  <si>
    <t>Citi atsevišķi uzskaitītie dati</t>
  </si>
  <si>
    <t>Elektroenerģija, PV</t>
  </si>
  <si>
    <t>Aizpilda, ja ir atsevišķa uzskaite 1.–3. punktā minētajām sistēmām</t>
  </si>
  <si>
    <t>Saules termālā</t>
  </si>
  <si>
    <t>(nosaukums un mērvienība)</t>
  </si>
  <si>
    <r>
      <t xml:space="preserve">2. Ēkas energoprasības novērtējums apkurei aprēķina periodā* </t>
    </r>
    <r>
      <rPr>
        <b/>
        <i/>
        <sz val="12"/>
        <rFont val="Times New Roman"/>
        <family val="1"/>
        <charset val="186"/>
      </rPr>
      <t>(esošā situācija)</t>
    </r>
  </si>
  <si>
    <t>*Atbilstoši Ministru kabineta 2021.gada 8. aprīļa noteikumiem Nr.222 "Ēku energoefektivitātes aprēķina metodes un ēku energosertifikācijas noteikumi"</t>
  </si>
  <si>
    <t>Grādudienas, kKh</t>
  </si>
  <si>
    <t>Aprēķina periods, dienas</t>
  </si>
  <si>
    <t>Iekštelpu temperatūra, *C</t>
  </si>
  <si>
    <t>Āra vides temperatūra, *C</t>
  </si>
  <si>
    <t>Zona Nr.1</t>
  </si>
  <si>
    <t>Zona Nr.2</t>
  </si>
  <si>
    <t>Zona  Nr.1</t>
  </si>
  <si>
    <t>Zona  Nr.2</t>
  </si>
  <si>
    <t>Iekštelpu vidējā temperatūra periodā:</t>
  </si>
  <si>
    <t>°C</t>
  </si>
  <si>
    <t>Āra vides vidējā temperatūra periodā:</t>
  </si>
  <si>
    <t>Novērtējuma periods:</t>
  </si>
  <si>
    <t>dienas</t>
  </si>
  <si>
    <t>References platība:</t>
  </si>
  <si>
    <t>m²</t>
  </si>
  <si>
    <t>References tilpums:</t>
  </si>
  <si>
    <r>
      <t>m</t>
    </r>
    <r>
      <rPr>
        <vertAlign val="superscript"/>
        <sz val="8"/>
        <rFont val="Times New Roman"/>
        <family val="1"/>
        <charset val="186"/>
      </rPr>
      <t>3</t>
    </r>
  </si>
  <si>
    <t>2.1. Siltuma pārnese ar pārvadi</t>
  </si>
  <si>
    <t>Norobežojošā konstrukcijas tips</t>
  </si>
  <si>
    <t>Konstrukcijas laukums</t>
  </si>
  <si>
    <t>Konstrukcijas siltumcaurlaidība</t>
  </si>
  <si>
    <t>Termiskā tilta garums/skaits</t>
  </si>
  <si>
    <t>Termiskā tilta siltumcaurlaidība</t>
  </si>
  <si>
    <t>Siltuma zudumi</t>
  </si>
  <si>
    <t>Perioda ilgums</t>
  </si>
  <si>
    <t>Temperatūras starpība</t>
  </si>
  <si>
    <t>Siltuma pārnese ar pārvadi</t>
  </si>
  <si>
    <t xml:space="preserve"> W/(m²K)</t>
  </si>
  <si>
    <t>m, gab</t>
  </si>
  <si>
    <t xml:space="preserve"> W/m vai W/gab</t>
  </si>
  <si>
    <t>W/K</t>
  </si>
  <si>
    <t>h</t>
  </si>
  <si>
    <t>K</t>
  </si>
  <si>
    <t>kWh gadā</t>
  </si>
  <si>
    <t>Tips Nr.1</t>
  </si>
  <si>
    <t>Tips Nr.2</t>
  </si>
  <si>
    <t>Tips Nr.3</t>
  </si>
  <si>
    <t>Tips Nr.4</t>
  </si>
  <si>
    <t>Tips Nr.5</t>
  </si>
  <si>
    <t>Tips Nr.6</t>
  </si>
  <si>
    <t>Tips Nr.7</t>
  </si>
  <si>
    <t>Tips Nr.8</t>
  </si>
  <si>
    <t>Tips Nr.9</t>
  </si>
  <si>
    <t>Tips Nr.10</t>
  </si>
  <si>
    <t>Tips Nr.11</t>
  </si>
  <si>
    <t>Tips Nr.12</t>
  </si>
  <si>
    <t>Tips Nr.13</t>
  </si>
  <si>
    <t>Tips Nr.14</t>
  </si>
  <si>
    <t>Tips Nr.15</t>
  </si>
  <si>
    <t>Tips Nr.16</t>
  </si>
  <si>
    <t>Tips Nr.17</t>
  </si>
  <si>
    <t>Tips Nr.18</t>
  </si>
  <si>
    <t>Tips Nr.19</t>
  </si>
  <si>
    <t>Tips Nr.20</t>
  </si>
  <si>
    <t>Kopējā siltuma pārnese ar pārvadi apkurei:</t>
  </si>
  <si>
    <t>2.2. Siltuma pārnese ar ventilāciju:</t>
  </si>
  <si>
    <t>Zonas Nr.</t>
  </si>
  <si>
    <t>Ventilācijas sistēma</t>
  </si>
  <si>
    <t>Aprēķina tilpums</t>
  </si>
  <si>
    <t>Gaisa apmaiņas intensitāte</t>
  </si>
  <si>
    <t>Darbības ilgums periodā</t>
  </si>
  <si>
    <t>Ventilācijas siltuma zudumu koeficients*</t>
  </si>
  <si>
    <t>Enerģijas atgūšanas vidējais rādītājs periodā</t>
  </si>
  <si>
    <t>Piegādātā gaisa 
temperatūras starpība</t>
  </si>
  <si>
    <t>Siltuma pārnese ar ventilāciju</t>
  </si>
  <si>
    <r>
      <t>m</t>
    </r>
    <r>
      <rPr>
        <vertAlign val="superscript"/>
        <sz val="8"/>
        <color theme="1"/>
        <rFont val="Times New Roman"/>
        <family val="1"/>
        <charset val="186"/>
      </rPr>
      <t>3</t>
    </r>
  </si>
  <si>
    <t>1/h</t>
  </si>
  <si>
    <t>%</t>
  </si>
  <si>
    <t>Dabiskā</t>
  </si>
  <si>
    <t>Mehāniskā</t>
  </si>
  <si>
    <t>Infiltrācija</t>
  </si>
  <si>
    <r>
      <t>Piezīme* Gaisa tilpuma siltumietilpība 0,336 W/(m</t>
    </r>
    <r>
      <rPr>
        <vertAlign val="superscript"/>
        <sz val="10"/>
        <rFont val="Times New Roman"/>
        <family val="1"/>
        <charset val="186"/>
      </rPr>
      <t>3</t>
    </r>
    <r>
      <rPr>
        <sz val="10"/>
        <rFont val="Times New Roman"/>
        <family val="1"/>
        <charset val="186"/>
      </rPr>
      <t>K), LVS ISO 52016-1 p.6.3.6.</t>
    </r>
  </si>
  <si>
    <t>Kopējā siltuma pārnese ar ventilāciju apkurei:</t>
  </si>
  <si>
    <t>2.3. Saules siltuma ieguvumi caur caurspīdīgām un necaurspīdīgām norobežojošajām konstrukcijām:</t>
  </si>
  <si>
    <t>Nr.p.k.</t>
  </si>
  <si>
    <t>Novietojums</t>
  </si>
  <si>
    <t>Caurspīdīgo konstrukciju laukums</t>
  </si>
  <si>
    <t>Samazinājuma faktors</t>
  </si>
  <si>
    <t>Stiklojuma vidējā 
g-vērtība</t>
  </si>
  <si>
    <t>Starojuma intensitāte periodā</t>
  </si>
  <si>
    <t>Saules siltuma ieguvumi</t>
  </si>
  <si>
    <r>
      <t>m</t>
    </r>
    <r>
      <rPr>
        <vertAlign val="superscript"/>
        <sz val="8"/>
        <color theme="1"/>
        <rFont val="Times New Roman"/>
        <family val="1"/>
        <charset val="186"/>
      </rPr>
      <t>2</t>
    </r>
  </si>
  <si>
    <r>
      <t>kWh/m</t>
    </r>
    <r>
      <rPr>
        <vertAlign val="superscript"/>
        <sz val="8"/>
        <rFont val="Times New Roman"/>
        <family val="1"/>
        <charset val="186"/>
      </rPr>
      <t>2</t>
    </r>
    <r>
      <rPr>
        <sz val="8"/>
        <rFont val="Times New Roman"/>
        <family val="1"/>
        <charset val="186"/>
      </rPr>
      <t xml:space="preserve"> gadā</t>
    </r>
  </si>
  <si>
    <t>2.3.1.</t>
  </si>
  <si>
    <t>Ziemeļi</t>
  </si>
  <si>
    <t>2.3.2.</t>
  </si>
  <si>
    <t>Austrumi</t>
  </si>
  <si>
    <t>2.3.3.</t>
  </si>
  <si>
    <t>Dienvidi</t>
  </si>
  <si>
    <t>2.3.4.</t>
  </si>
  <si>
    <t>Rietumi</t>
  </si>
  <si>
    <t>2.3.5.</t>
  </si>
  <si>
    <t>Horizontāli</t>
  </si>
  <si>
    <t>2.3.6.</t>
  </si>
  <si>
    <t>Necaurspīdīgās norobežojošās konstrukcijas</t>
  </si>
  <si>
    <t>Kopējie saules siltuma ieguvumi apkurei:</t>
  </si>
  <si>
    <t>2.4. Iekšējie siltuma ieguvumi:</t>
  </si>
  <si>
    <t>Zona Nr.</t>
  </si>
  <si>
    <t>Apkures perioda ilgums</t>
  </si>
  <si>
    <t>Īpatnējā iekšējo siltuma ieguvumu jauda**</t>
  </si>
  <si>
    <t>References platība</t>
  </si>
  <si>
    <t>Iekšējie siltuma ieguvumi</t>
  </si>
  <si>
    <t>h gadā</t>
  </si>
  <si>
    <r>
      <t>W/m</t>
    </r>
    <r>
      <rPr>
        <vertAlign val="superscript"/>
        <sz val="8"/>
        <rFont val="Times New Roman"/>
        <family val="1"/>
        <charset val="186"/>
      </rPr>
      <t>2</t>
    </r>
  </si>
  <si>
    <t>2.5. Iekšējo siltuma ieguvumu izmantošanas koeficients</t>
  </si>
  <si>
    <t xml:space="preserve"> </t>
  </si>
  <si>
    <r>
      <t>kWh/</t>
    </r>
    <r>
      <rPr>
        <b/>
        <vertAlign val="superscript"/>
        <sz val="8"/>
        <rFont val="Times New Roman"/>
        <family val="1"/>
        <charset val="186"/>
      </rPr>
      <t xml:space="preserve">2 </t>
    </r>
    <r>
      <rPr>
        <b/>
        <sz val="8"/>
        <rFont val="Times New Roman"/>
        <family val="1"/>
        <charset val="186"/>
      </rPr>
      <t>gadā</t>
    </r>
  </si>
  <si>
    <t>2.6.</t>
  </si>
  <si>
    <t>Gada energoprasība apkurei:</t>
  </si>
  <si>
    <r>
      <t xml:space="preserve">3. Ēkas energoprasības novērtējums apkurei aprēķina periodā* </t>
    </r>
    <r>
      <rPr>
        <b/>
        <i/>
        <sz val="12"/>
        <rFont val="Times New Roman"/>
        <family val="1"/>
        <charset val="186"/>
      </rPr>
      <t>(plānotā situācija)</t>
    </r>
  </si>
  <si>
    <t>3.1. Siltuma pārnese ar pārvadi</t>
  </si>
  <si>
    <t>3.2. Siltuma pārnese ar ventilāciju:</t>
  </si>
  <si>
    <t>3.3. Saules siltuma ieguvumi caur caurspīdīgām un necaurspīdīgām norobežojošajām konstrukcijām:</t>
  </si>
  <si>
    <t>3.3.1.</t>
  </si>
  <si>
    <t>3.3.2.</t>
  </si>
  <si>
    <t>3.3.3.</t>
  </si>
  <si>
    <t>3.3.4.</t>
  </si>
  <si>
    <t>3.3.5.</t>
  </si>
  <si>
    <t>3.3.6.</t>
  </si>
  <si>
    <t>3.4. Iekšējie siltuma ieguvumi:</t>
  </si>
  <si>
    <t>3.5. Iekšējo siltuma ieguvumu izmantošanas koeficients</t>
  </si>
  <si>
    <t>3.6.</t>
  </si>
  <si>
    <t>4. Ziņojums par ēkas energoprasības novērtējumu apkurei *</t>
  </si>
  <si>
    <t>*ISO 52000 p.12.1. (ISO 52016 p.7.1.2.2.2.)</t>
  </si>
  <si>
    <t>4.1.</t>
  </si>
  <si>
    <t>Esošās situācijas energoprasība apkurei</t>
  </si>
  <si>
    <t>Ievaddati un izejas dati</t>
  </si>
  <si>
    <t>Janv</t>
  </si>
  <si>
    <t>Febr</t>
  </si>
  <si>
    <t>Marts</t>
  </si>
  <si>
    <t>Apr</t>
  </si>
  <si>
    <t>Maijs</t>
  </si>
  <si>
    <t>Jūn</t>
  </si>
  <si>
    <t>Jūl</t>
  </si>
  <si>
    <t>Aug</t>
  </si>
  <si>
    <t>Sept</t>
  </si>
  <si>
    <t>Okt</t>
  </si>
  <si>
    <t>Nov</t>
  </si>
  <si>
    <t>Dec</t>
  </si>
  <si>
    <t>Gadā</t>
  </si>
  <si>
    <t>4.1.1.</t>
  </si>
  <si>
    <r>
      <t>Vidējā temperatūra āra vidē, θ</t>
    </r>
    <r>
      <rPr>
        <vertAlign val="subscript"/>
        <sz val="10"/>
        <rFont val="Times New Roman"/>
        <family val="1"/>
        <charset val="186"/>
      </rPr>
      <t>e;a;m</t>
    </r>
  </si>
  <si>
    <t>4.1.2.</t>
  </si>
  <si>
    <t>Saules starojuma intensitāte, horizontāli</t>
  </si>
  <si>
    <r>
      <t>kWh/m</t>
    </r>
    <r>
      <rPr>
        <vertAlign val="superscript"/>
        <sz val="10"/>
        <rFont val="Times New Roman"/>
        <family val="1"/>
        <charset val="186"/>
      </rPr>
      <t>2</t>
    </r>
  </si>
  <si>
    <t>4.1.3.</t>
  </si>
  <si>
    <r>
      <t>Siltuma pārnese ar pārvadi, Q</t>
    </r>
    <r>
      <rPr>
        <vertAlign val="subscript"/>
        <sz val="10"/>
        <rFont val="Times New Roman"/>
        <family val="1"/>
        <charset val="186"/>
      </rPr>
      <t>tr</t>
    </r>
  </si>
  <si>
    <t>kWh</t>
  </si>
  <si>
    <t>4.1.4.</t>
  </si>
  <si>
    <r>
      <t>Siltuma pārnese ar ventilāciju, Q</t>
    </r>
    <r>
      <rPr>
        <vertAlign val="subscript"/>
        <sz val="10"/>
        <rFont val="Times New Roman"/>
        <family val="1"/>
        <charset val="186"/>
      </rPr>
      <t>ve</t>
    </r>
  </si>
  <si>
    <t>4.1.5.</t>
  </si>
  <si>
    <r>
      <t>Kopējā siltuma pārnese, Q</t>
    </r>
    <r>
      <rPr>
        <vertAlign val="subscript"/>
        <sz val="10"/>
        <rFont val="Times New Roman"/>
        <family val="1"/>
        <charset val="186"/>
      </rPr>
      <t>ht</t>
    </r>
  </si>
  <si>
    <t>4.1.6.</t>
  </si>
  <si>
    <r>
      <t>Saules siltuma ieguvumi, Q</t>
    </r>
    <r>
      <rPr>
        <vertAlign val="subscript"/>
        <sz val="10"/>
        <rFont val="Times New Roman"/>
        <family val="1"/>
        <charset val="186"/>
      </rPr>
      <t>sol</t>
    </r>
  </si>
  <si>
    <t>4.1.7.</t>
  </si>
  <si>
    <r>
      <t>Iekšējie siltuma ieguvumi, Q</t>
    </r>
    <r>
      <rPr>
        <vertAlign val="subscript"/>
        <sz val="10"/>
        <rFont val="Times New Roman"/>
        <family val="1"/>
        <charset val="186"/>
      </rPr>
      <t>int</t>
    </r>
  </si>
  <si>
    <t>4.1.8.</t>
  </si>
  <si>
    <r>
      <t>Kopējie siltuma ieguvumi, Q</t>
    </r>
    <r>
      <rPr>
        <vertAlign val="subscript"/>
        <sz val="10"/>
        <rFont val="Times New Roman"/>
        <family val="1"/>
        <charset val="186"/>
      </rPr>
      <t>gn</t>
    </r>
  </si>
  <si>
    <t>4.1.9.</t>
  </si>
  <si>
    <r>
      <t>Siltuma izmantošanas faktors, η</t>
    </r>
    <r>
      <rPr>
        <vertAlign val="subscript"/>
        <sz val="8.5"/>
        <rFont val="Times New Roman"/>
        <family val="1"/>
        <charset val="186"/>
      </rPr>
      <t>H;gn</t>
    </r>
  </si>
  <si>
    <t>4.1.10.</t>
  </si>
  <si>
    <r>
      <t>Energoprasība apkurei, Q</t>
    </r>
    <r>
      <rPr>
        <vertAlign val="subscript"/>
        <sz val="10"/>
        <rFont val="Times New Roman"/>
        <family val="1"/>
        <charset val="186"/>
      </rPr>
      <t>H;nd</t>
    </r>
  </si>
  <si>
    <t>4.1.11.</t>
  </si>
  <si>
    <t>Īpatnējā energoprasība apkurei</t>
  </si>
  <si>
    <t>kWh/m²</t>
  </si>
  <si>
    <t>4.2.</t>
  </si>
  <si>
    <t>Plānotās situācijas energoprasība apkurei</t>
  </si>
  <si>
    <t>4.2.3.</t>
  </si>
  <si>
    <t>4.2.4.</t>
  </si>
  <si>
    <t>4.2.5.</t>
  </si>
  <si>
    <t>4.2.6.</t>
  </si>
  <si>
    <t>4.2.7.</t>
  </si>
  <si>
    <t>4.2.8.</t>
  </si>
  <si>
    <t>4.2.9.</t>
  </si>
  <si>
    <t>4.2.10.</t>
  </si>
  <si>
    <t>4.2.11.</t>
  </si>
  <si>
    <r>
      <rPr>
        <b/>
        <sz val="14"/>
        <color theme="1"/>
        <rFont val="Times New Roman"/>
        <family val="1"/>
        <charset val="186"/>
      </rPr>
      <t xml:space="preserve">5. Ziņojums par kopējo ēkas energoefektivitāti </t>
    </r>
    <r>
      <rPr>
        <b/>
        <sz val="10"/>
        <color theme="1"/>
        <rFont val="Times New Roman"/>
        <family val="1"/>
        <charset val="186"/>
      </rPr>
      <t>( LVS ISO 52000-1:2017)</t>
    </r>
  </si>
  <si>
    <t>Primārās KOPĒJĀS enerģijas gada patēriņa samazinājums:</t>
  </si>
  <si>
    <t>Siltumnīcefekta (ogļskābo) gāzu samazinājums:</t>
  </si>
  <si>
    <r>
      <t>t CO</t>
    </r>
    <r>
      <rPr>
        <b/>
        <vertAlign val="subscript"/>
        <sz val="12"/>
        <color theme="1"/>
        <rFont val="Times New Roman"/>
        <family val="1"/>
        <charset val="186"/>
      </rPr>
      <t>2</t>
    </r>
    <r>
      <rPr>
        <b/>
        <sz val="12"/>
        <color theme="1"/>
        <rFont val="Times New Roman"/>
        <family val="1"/>
        <charset val="186"/>
      </rPr>
      <t xml:space="preserve"> ekviv. gadā</t>
    </r>
  </si>
  <si>
    <t>5.1. Esošā situācija</t>
  </si>
  <si>
    <t>Pakalpojums</t>
  </si>
  <si>
    <t>Energo-prasība</t>
  </si>
  <si>
    <t>Energoresurss</t>
  </si>
  <si>
    <t>Energoresurss pakalpojumam</t>
  </si>
  <si>
    <t>Sezonālais
lietderības
koeficients</t>
  </si>
  <si>
    <r>
      <t>Primārās enerģijas koeficients neatjaunojamo energoresursu daļai, f</t>
    </r>
    <r>
      <rPr>
        <vertAlign val="subscript"/>
        <sz val="8"/>
        <rFont val="Times New Roman"/>
        <family val="1"/>
        <charset val="186"/>
      </rPr>
      <t>Pnren</t>
    </r>
  </si>
  <si>
    <r>
      <t>Primārās enerģijas koeficients atjaunojamo energoresursu daļai, f</t>
    </r>
    <r>
      <rPr>
        <vertAlign val="subscript"/>
        <sz val="8"/>
        <rFont val="Times New Roman"/>
        <family val="1"/>
        <charset val="186"/>
      </rPr>
      <t>Pren</t>
    </r>
  </si>
  <si>
    <r>
      <t>CO</t>
    </r>
    <r>
      <rPr>
        <vertAlign val="subscript"/>
        <sz val="8"/>
        <rFont val="Times New Roman"/>
        <family val="1"/>
        <charset val="186"/>
      </rPr>
      <t>2</t>
    </r>
    <r>
      <rPr>
        <sz val="8"/>
        <rFont val="Times New Roman"/>
        <family val="1"/>
        <charset val="186"/>
      </rPr>
      <t xml:space="preserve"> emisiju faktors</t>
    </r>
  </si>
  <si>
    <r>
      <t>Svērtā energoefektivitāte, E</t>
    </r>
    <r>
      <rPr>
        <b/>
        <vertAlign val="subscript"/>
        <sz val="11"/>
        <rFont val="Times New Roman"/>
        <family val="1"/>
        <charset val="186"/>
      </rPr>
      <t>we</t>
    </r>
  </si>
  <si>
    <t>pieprasītā
enerģija</t>
  </si>
  <si>
    <t>zudumi vai papildus
enerģija</t>
  </si>
  <si>
    <t>piegādātā
enerģija</t>
  </si>
  <si>
    <r>
      <t>Primārā neatjaunojamā
enerģija
E</t>
    </r>
    <r>
      <rPr>
        <vertAlign val="subscript"/>
        <sz val="8"/>
        <rFont val="Times New Roman"/>
        <family val="1"/>
        <charset val="186"/>
      </rPr>
      <t>Pnren</t>
    </r>
  </si>
  <si>
    <r>
      <t>Primārā
atjaunojamā
enerģija
E</t>
    </r>
    <r>
      <rPr>
        <vertAlign val="subscript"/>
        <sz val="8"/>
        <rFont val="Times New Roman"/>
        <family val="1"/>
        <charset val="186"/>
      </rPr>
      <t>pren</t>
    </r>
  </si>
  <si>
    <r>
      <t>Primārā
kopējā 
enerģija
E</t>
    </r>
    <r>
      <rPr>
        <b/>
        <vertAlign val="subscript"/>
        <sz val="8"/>
        <rFont val="Times New Roman"/>
        <family val="1"/>
        <charset val="186"/>
      </rPr>
      <t>Ptot</t>
    </r>
  </si>
  <si>
    <r>
      <t>CO</t>
    </r>
    <r>
      <rPr>
        <b/>
        <vertAlign val="subscript"/>
        <sz val="8"/>
        <rFont val="Times New Roman"/>
        <family val="1"/>
        <charset val="186"/>
      </rPr>
      <t>2</t>
    </r>
    <r>
      <rPr>
        <b/>
        <sz val="8"/>
        <rFont val="Times New Roman"/>
        <family val="1"/>
        <charset val="186"/>
      </rPr>
      <t xml:space="preserve"> emisiju novērtējums</t>
    </r>
  </si>
  <si>
    <t>kg CO2//kWh</t>
  </si>
  <si>
    <r>
      <t>kg CO</t>
    </r>
    <r>
      <rPr>
        <b/>
        <vertAlign val="subscript"/>
        <sz val="8"/>
        <rFont val="Times New Roman"/>
        <family val="1"/>
        <charset val="186"/>
      </rPr>
      <t>2</t>
    </r>
  </si>
  <si>
    <t>Apkure</t>
  </si>
  <si>
    <t>LVS EN ISO 52000-1, NA13b.tabula</t>
  </si>
  <si>
    <t>Centralizētā siltumapgāde*</t>
  </si>
  <si>
    <t>ne</t>
  </si>
  <si>
    <t>atj</t>
  </si>
  <si>
    <t>co2</t>
  </si>
  <si>
    <t>Vides enerģija</t>
  </si>
  <si>
    <t xml:space="preserve">Sadzīves karstais ūdens 
</t>
  </si>
  <si>
    <t>Ventilācija</t>
  </si>
  <si>
    <t>Apgaismojums</t>
  </si>
  <si>
    <t>Dzesēšana</t>
  </si>
  <si>
    <t>ĒEE lietderīgi izmantotā PV elektroenerģija:</t>
  </si>
  <si>
    <t>Kopā:</t>
  </si>
  <si>
    <t>5.2. Plānotā situācija</t>
  </si>
  <si>
    <r>
      <t>Primārā
atjaunojamā
enerģija
E</t>
    </r>
    <r>
      <rPr>
        <vertAlign val="subscript"/>
        <sz val="8"/>
        <rFont val="Times New Roman"/>
        <family val="1"/>
        <charset val="186"/>
      </rPr>
      <t>Pren</t>
    </r>
  </si>
  <si>
    <t>Sadzīves karstā ūdens 
sagatavošana</t>
  </si>
  <si>
    <t>Pēc projekta saražotā un energopakalpojumiem izmantotā PV elektroenerģija:</t>
  </si>
  <si>
    <t>KOPĀ:</t>
  </si>
  <si>
    <t>* Atbilstoši MK noteikumu Nr. 222, 6.pielikuma 15.punktam "Siltumenerģija no centralizētās siltumapgādes sistēmas, no konkrēta piegādātāja", kur primārās kopējās enerģijas novērtējumā izmanto konkrētā piegādātāja kurināmā patēriņa primārās enerģijas faktorus, CO2 emisiju novērtējumā izmanto konkrētā piegādātāja sniegto informāciju (MK noteikumu Nr.42 "Siltumnīcefekta gāzu emisiju aprēķina metodika" 12.1.apakšpunkts). Detalizēts novērtējums jāveic lapā "6.lapa_Centralizētā"</t>
  </si>
  <si>
    <t>Meteoroloģiskā stacija</t>
  </si>
  <si>
    <t>AER izmantojošu enerģiju ražojošu iekārtu papildjauda :</t>
  </si>
  <si>
    <t>ar AER izmantojošu enerģiju ražojošu iekārtu papildjaudu saražotā enerģija :</t>
  </si>
  <si>
    <t>kW</t>
  </si>
  <si>
    <t>6. Siltumenerģija no centralizētās siltumapgādes sistēmas, no konkrēta piegādātāja</t>
  </si>
  <si>
    <t>6.1. Aprēķinātais primārās enerģijas faktors</t>
  </si>
  <si>
    <t>Energonesējs</t>
  </si>
  <si>
    <r>
      <t>f</t>
    </r>
    <r>
      <rPr>
        <vertAlign val="subscript"/>
        <sz val="11"/>
        <rFont val="Times New Roman"/>
        <family val="1"/>
        <charset val="186"/>
      </rPr>
      <t>Pnren</t>
    </r>
  </si>
  <si>
    <r>
      <t>f</t>
    </r>
    <r>
      <rPr>
        <vertAlign val="subscript"/>
        <sz val="11"/>
        <rFont val="Times New Roman"/>
        <family val="1"/>
        <charset val="186"/>
      </rPr>
      <t>Pren</t>
    </r>
  </si>
  <si>
    <r>
      <t>f</t>
    </r>
    <r>
      <rPr>
        <vertAlign val="subscript"/>
        <sz val="11"/>
        <rFont val="Times New Roman"/>
        <family val="1"/>
        <charset val="186"/>
      </rPr>
      <t>Ptot</t>
    </r>
  </si>
  <si>
    <t>vidēji MWh gadā</t>
  </si>
  <si>
    <t>1.</t>
  </si>
  <si>
    <r>
      <t xml:space="preserve">saražotā siltumenerģija </t>
    </r>
    <r>
      <rPr>
        <b/>
        <sz val="11"/>
        <rFont val="Times New Roman"/>
        <family val="1"/>
        <charset val="186"/>
      </rPr>
      <t>koģenerācijas režīmā:</t>
    </r>
  </si>
  <si>
    <t>1.1. ar atjaunojamiem energoresursiem</t>
  </si>
  <si>
    <t>1.2. ar neatjaunojamiem energoresursiem</t>
  </si>
  <si>
    <t>2.</t>
  </si>
  <si>
    <r>
      <t xml:space="preserve">saražotā siltumenerģija </t>
    </r>
    <r>
      <rPr>
        <b/>
        <sz val="11"/>
        <rFont val="Times New Roman"/>
        <family val="1"/>
        <charset val="186"/>
      </rPr>
      <t>bez koģenerācijas</t>
    </r>
    <r>
      <rPr>
        <sz val="11"/>
        <rFont val="Times New Roman"/>
        <family val="1"/>
        <charset val="186"/>
      </rPr>
      <t>:</t>
    </r>
  </si>
  <si>
    <t>2.1. ar atjaunojamiem energoresursiem</t>
  </si>
  <si>
    <t>2.2. ar neatjaunojamiem energoresursiem</t>
  </si>
  <si>
    <r>
      <t>f</t>
    </r>
    <r>
      <rPr>
        <vertAlign val="subscript"/>
        <sz val="11"/>
        <rFont val="Times New Roman"/>
        <family val="1"/>
        <charset val="186"/>
      </rPr>
      <t>Pnren</t>
    </r>
    <r>
      <rPr>
        <sz val="10"/>
        <rFont val="Times New Roman"/>
        <family val="1"/>
        <charset val="186"/>
      </rPr>
      <t>, f</t>
    </r>
    <r>
      <rPr>
        <vertAlign val="subscript"/>
        <sz val="10"/>
        <rFont val="Times New Roman"/>
        <family val="1"/>
        <charset val="186"/>
      </rPr>
      <t>Pren</t>
    </r>
    <r>
      <rPr>
        <sz val="10"/>
        <rFont val="Times New Roman"/>
        <family val="1"/>
        <charset val="186"/>
      </rPr>
      <t xml:space="preserve">, </t>
    </r>
    <r>
      <rPr>
        <b/>
        <sz val="10"/>
        <rFont val="Times New Roman"/>
        <family val="1"/>
        <charset val="186"/>
      </rPr>
      <t>f</t>
    </r>
    <r>
      <rPr>
        <b/>
        <vertAlign val="subscript"/>
        <sz val="10"/>
        <rFont val="Times New Roman"/>
        <family val="1"/>
        <charset val="186"/>
      </rPr>
      <t>Ptot</t>
    </r>
    <r>
      <rPr>
        <i/>
        <sz val="10"/>
        <rFont val="Times New Roman"/>
        <family val="1"/>
        <charset val="186"/>
      </rPr>
      <t>–</t>
    </r>
    <r>
      <rPr>
        <sz val="10"/>
        <rFont val="Times New Roman"/>
        <family val="1"/>
        <charset val="186"/>
      </rPr>
      <t> centralizētās siltumapgādes primārās enerģijas faktori:</t>
    </r>
  </si>
  <si>
    <r>
      <t>6.2. Aprēķinātais CO</t>
    </r>
    <r>
      <rPr>
        <b/>
        <vertAlign val="subscript"/>
        <sz val="11"/>
        <rFont val="Times New Roman"/>
        <family val="1"/>
        <charset val="186"/>
      </rPr>
      <t>2</t>
    </r>
    <r>
      <rPr>
        <b/>
        <sz val="11"/>
        <rFont val="Times New Roman"/>
        <family val="1"/>
        <charset val="186"/>
      </rPr>
      <t xml:space="preserve"> emisijas faktors*</t>
    </r>
  </si>
  <si>
    <r>
      <t>CO</t>
    </r>
    <r>
      <rPr>
        <vertAlign val="subscript"/>
        <sz val="11"/>
        <rFont val="Times New Roman"/>
        <family val="1"/>
        <charset val="186"/>
      </rPr>
      <t xml:space="preserve">2 </t>
    </r>
    <r>
      <rPr>
        <sz val="11"/>
        <rFont val="Times New Roman"/>
        <family val="1"/>
        <charset val="186"/>
      </rPr>
      <t>faktora vērtība</t>
    </r>
  </si>
  <si>
    <r>
      <t>CO</t>
    </r>
    <r>
      <rPr>
        <vertAlign val="subscript"/>
        <sz val="11"/>
        <rFont val="Times New Roman"/>
        <family val="1"/>
        <charset val="186"/>
      </rPr>
      <t>2</t>
    </r>
    <r>
      <rPr>
        <sz val="11"/>
        <rFont val="Times New Roman"/>
        <family val="1"/>
        <charset val="186"/>
      </rPr>
      <t xml:space="preserve"> emisijas faktors siltumenerģijai, ko aprēķina centralizētās siltumapgādes sistēmas operators, lokālās siltumapgādes sistēmas operators vai individuālās siltumapgādes sistēmas lietotājs,
 t CO</t>
    </r>
    <r>
      <rPr>
        <vertAlign val="subscript"/>
        <sz val="11"/>
        <rFont val="Times New Roman"/>
        <family val="1"/>
        <charset val="186"/>
      </rPr>
      <t>2</t>
    </r>
    <r>
      <rPr>
        <sz val="11"/>
        <rFont val="Times New Roman"/>
        <family val="1"/>
        <charset val="186"/>
      </rPr>
      <t xml:space="preserve"> / MWh</t>
    </r>
  </si>
  <si>
    <t>* izmantotie faktori atbilstoši Ministru kabineta 2018. gada 8. aprīļa noteikumiem Nr.222 "Ēku energoefektivitātes aprēķina metodes un ēku energosertifikācijas noteikumi" 6.pielikuma prasībām.</t>
  </si>
  <si>
    <t>Klimatiskie dati:</t>
  </si>
  <si>
    <t>Mēnesis</t>
  </si>
  <si>
    <t>Gadā kopā</t>
  </si>
  <si>
    <r>
      <t>Starojums, Horizontāli, kWh/m</t>
    </r>
    <r>
      <rPr>
        <vertAlign val="superscript"/>
        <sz val="11"/>
        <rFont val="Arial"/>
        <family val="2"/>
        <charset val="186"/>
      </rPr>
      <t>2</t>
    </r>
  </si>
  <si>
    <r>
      <t>T</t>
    </r>
    <r>
      <rPr>
        <vertAlign val="subscript"/>
        <sz val="11"/>
        <rFont val="Arial"/>
        <family val="2"/>
      </rPr>
      <t>sky</t>
    </r>
  </si>
  <si>
    <t>Zemes temperatūra</t>
  </si>
  <si>
    <t>Piegādātās un eksportētās elektroenerģijas komponenšu aprēķināšana</t>
  </si>
  <si>
    <t>ĒEE el.en. lietojums, apkure, kWh</t>
  </si>
  <si>
    <t>ĒEE el.en. lietojums, SKŪ, kWh</t>
  </si>
  <si>
    <t>ĒEE lietojums, ventilācija, kWh</t>
  </si>
  <si>
    <t>ĒEE lietojums, apgaismojums, kWh</t>
  </si>
  <si>
    <t>ĒEE el.en. lietojums, dzesēšana, kWh</t>
  </si>
  <si>
    <t>ĒEE elektroenerģijas lietojums, kWh</t>
  </si>
  <si>
    <t>PV saražotā elektroenerģija, kWh</t>
  </si>
  <si>
    <t>PV ĒEE lietderīgā elektroenerģija, kWh</t>
  </si>
  <si>
    <t>Tīklā eksportētā elektroenerģija, kWh</t>
  </si>
  <si>
    <t>No tīkla piegādātā elektroenerģija, kWh</t>
  </si>
  <si>
    <t>Ainaži</t>
  </si>
  <si>
    <t>Alūksne</t>
  </si>
  <si>
    <t>Bauska</t>
  </si>
  <si>
    <t>Daugavpils</t>
  </si>
  <si>
    <t>Dobele</t>
  </si>
  <si>
    <t>Gulbene</t>
  </si>
  <si>
    <t>Jelgava</t>
  </si>
  <si>
    <t>Kolka</t>
  </si>
  <si>
    <t>Liepāja</t>
  </si>
  <si>
    <t>Mērsrags</t>
  </si>
  <si>
    <t>Pāvilosta</t>
  </si>
  <si>
    <t>Priekuļi</t>
  </si>
  <si>
    <t>Rēzekne</t>
  </si>
  <si>
    <t>Rīga</t>
  </si>
  <si>
    <t>Rūjiena</t>
  </si>
  <si>
    <t>Saldus</t>
  </si>
  <si>
    <t>Skrīveri</t>
  </si>
  <si>
    <t>Skulte</t>
  </si>
  <si>
    <t>Stende</t>
  </si>
  <si>
    <t>Ventspils</t>
  </si>
  <si>
    <t>Zīlāni</t>
  </si>
  <si>
    <t>Zosēni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</si>
</sst>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0.0"/>
    <numFmt numFmtId="167" formatCode="#,##0.000"/>
    <numFmt numFmtId="168" formatCode="0.0000"/>
    <numFmt numFmtId="169" formatCode="0.000000"/>
    <numFmt numFmtId="170" formatCode="0.0%"/>
    <numFmt numFmtId="171" formatCode="0.00000"/>
  </numFmts>
  <fonts count="81" x14ac:knownFonts="1">
    <font>
      <sz val="11"/>
      <color theme="1"/>
      <name val="Calibri"/>
      <family val="2"/>
      <charset val="186"/>
      <scheme val="minor"/>
    </font>
    <font>
      <sz val="11"/>
      <color theme="1"/>
      <name val="Calibri"/>
      <family val="2"/>
      <charset val="186"/>
      <scheme val="minor"/>
    </font>
    <font>
      <sz val="10"/>
      <name val="Arial"/>
      <family val="2"/>
    </font>
    <font>
      <sz val="10"/>
      <name val="Helv"/>
    </font>
    <font>
      <sz val="10"/>
      <name val="MS Sans Serif"/>
      <family val="2"/>
    </font>
    <font>
      <sz val="11"/>
      <color theme="1"/>
      <name val="Calibri"/>
      <family val="2"/>
      <scheme val="minor"/>
    </font>
    <font>
      <sz val="9"/>
      <color indexed="81"/>
      <name val="Tahoma"/>
      <family val="2"/>
      <charset val="186"/>
    </font>
    <font>
      <b/>
      <sz val="9"/>
      <color indexed="81"/>
      <name val="Tahoma"/>
      <family val="2"/>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vertAlign val="subscript"/>
      <sz val="12"/>
      <color theme="1"/>
      <name val="Times New Roman"/>
      <family val="1"/>
      <charset val="186"/>
    </font>
    <font>
      <sz val="8"/>
      <color theme="1"/>
      <name val="Times New Roman"/>
      <family val="1"/>
      <charset val="186"/>
    </font>
    <font>
      <sz val="12"/>
      <color theme="1"/>
      <name val="Times New Roman"/>
      <family val="1"/>
      <charset val="186"/>
    </font>
    <font>
      <sz val="11"/>
      <color theme="1"/>
      <name val="Times New Roman"/>
      <family val="1"/>
      <charset val="186"/>
    </font>
    <font>
      <sz val="24"/>
      <name val="Times New Roman"/>
      <family val="1"/>
      <charset val="186"/>
    </font>
    <font>
      <b/>
      <i/>
      <sz val="10"/>
      <name val="Times New Roman"/>
      <family val="1"/>
      <charset val="186"/>
    </font>
    <font>
      <sz val="10"/>
      <name val="Times New Roman"/>
      <family val="1"/>
      <charset val="186"/>
    </font>
    <font>
      <b/>
      <sz val="16"/>
      <name val="Times New Roman"/>
      <family val="1"/>
      <charset val="186"/>
    </font>
    <font>
      <b/>
      <sz val="10"/>
      <name val="Times New Roman"/>
      <family val="1"/>
      <charset val="186"/>
    </font>
    <font>
      <sz val="8"/>
      <name val="Times New Roman"/>
      <family val="1"/>
      <charset val="186"/>
    </font>
    <font>
      <sz val="9"/>
      <name val="Times New Roman"/>
      <family val="1"/>
      <charset val="186"/>
    </font>
    <font>
      <vertAlign val="superscript"/>
      <sz val="8"/>
      <name val="Times New Roman"/>
      <family val="1"/>
      <charset val="186"/>
    </font>
    <font>
      <b/>
      <sz val="12"/>
      <name val="Times New Roman"/>
      <family val="1"/>
      <charset val="186"/>
    </font>
    <font>
      <sz val="11"/>
      <name val="Times New Roman"/>
      <family val="1"/>
      <charset val="186"/>
    </font>
    <font>
      <sz val="8"/>
      <color indexed="8"/>
      <name val="Times New Roman"/>
      <family val="1"/>
      <charset val="186"/>
    </font>
    <font>
      <sz val="12"/>
      <color indexed="8"/>
      <name val="Times New Roman"/>
      <family val="1"/>
      <charset val="186"/>
    </font>
    <font>
      <b/>
      <sz val="14"/>
      <name val="Times New Roman"/>
      <family val="1"/>
      <charset val="186"/>
    </font>
    <font>
      <sz val="10"/>
      <color indexed="8"/>
      <name val="Times New Roman"/>
      <family val="1"/>
      <charset val="186"/>
    </font>
    <font>
      <sz val="9"/>
      <color indexed="8"/>
      <name val="Times New Roman"/>
      <family val="1"/>
      <charset val="186"/>
    </font>
    <font>
      <b/>
      <sz val="8"/>
      <name val="Times New Roman"/>
      <family val="1"/>
      <charset val="186"/>
    </font>
    <font>
      <b/>
      <sz val="12"/>
      <color indexed="8"/>
      <name val="Times New Roman"/>
      <family val="1"/>
      <charset val="186"/>
    </font>
    <font>
      <vertAlign val="superscript"/>
      <sz val="10"/>
      <name val="Times New Roman"/>
      <family val="1"/>
      <charset val="186"/>
    </font>
    <font>
      <sz val="12"/>
      <name val="Times New Roman"/>
      <family val="1"/>
      <charset val="186"/>
    </font>
    <font>
      <b/>
      <sz val="8"/>
      <color indexed="8"/>
      <name val="Times New Roman"/>
      <family val="1"/>
      <charset val="186"/>
    </font>
    <font>
      <b/>
      <sz val="20"/>
      <color rgb="FF000000"/>
      <name val="Times New Roman"/>
      <family val="1"/>
      <charset val="186"/>
    </font>
    <font>
      <b/>
      <sz val="10"/>
      <color rgb="FF000000"/>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vertAlign val="superscript"/>
      <sz val="8"/>
      <color theme="1"/>
      <name val="Times New Roman"/>
      <family val="1"/>
      <charset val="186"/>
    </font>
    <font>
      <sz val="8"/>
      <name val="Calibri"/>
      <family val="2"/>
      <charset val="186"/>
      <scheme val="minor"/>
    </font>
    <font>
      <b/>
      <sz val="9"/>
      <name val="Times New Roman"/>
      <family val="1"/>
      <charset val="186"/>
    </font>
    <font>
      <b/>
      <vertAlign val="superscript"/>
      <sz val="8"/>
      <name val="Times New Roman"/>
      <family val="1"/>
      <charset val="186"/>
    </font>
    <font>
      <sz val="14"/>
      <color theme="1"/>
      <name val="Times New Roman"/>
      <family val="1"/>
      <charset val="186"/>
    </font>
    <font>
      <vertAlign val="subscript"/>
      <sz val="8"/>
      <name val="Times New Roman"/>
      <family val="1"/>
      <charset val="186"/>
    </font>
    <font>
      <b/>
      <vertAlign val="subscript"/>
      <sz val="8"/>
      <name val="Times New Roman"/>
      <family val="1"/>
      <charset val="186"/>
    </font>
    <font>
      <sz val="6"/>
      <name val="Times New Roman"/>
      <family val="1"/>
      <charset val="186"/>
    </font>
    <font>
      <sz val="11"/>
      <color theme="0"/>
      <name val="Times New Roman"/>
      <family val="1"/>
      <charset val="186"/>
    </font>
    <font>
      <sz val="11"/>
      <color rgb="FFFF0000"/>
      <name val="Times New Roman"/>
      <family val="1"/>
      <charset val="186"/>
    </font>
    <font>
      <b/>
      <sz val="16"/>
      <color theme="1"/>
      <name val="Times New Roman"/>
      <family val="1"/>
      <charset val="186"/>
    </font>
    <font>
      <b/>
      <sz val="18"/>
      <name val="Times New Roman"/>
      <family val="1"/>
      <charset val="186"/>
    </font>
    <font>
      <b/>
      <u/>
      <sz val="11"/>
      <color rgb="FFFF0000"/>
      <name val="Times New Roman"/>
      <family val="1"/>
      <charset val="186"/>
    </font>
    <font>
      <u/>
      <sz val="11"/>
      <color theme="10"/>
      <name val="Calibri"/>
      <family val="2"/>
      <charset val="186"/>
      <scheme val="minor"/>
    </font>
    <font>
      <sz val="12"/>
      <color rgb="FFFF0000"/>
      <name val="Times New Roman"/>
      <family val="1"/>
      <charset val="186"/>
    </font>
    <font>
      <vertAlign val="subscript"/>
      <sz val="11"/>
      <name val="Times New Roman"/>
      <family val="1"/>
      <charset val="186"/>
    </font>
    <font>
      <vertAlign val="subscript"/>
      <sz val="10"/>
      <name val="Times New Roman"/>
      <family val="1"/>
      <charset val="186"/>
    </font>
    <font>
      <b/>
      <vertAlign val="subscript"/>
      <sz val="10"/>
      <name val="Times New Roman"/>
      <family val="1"/>
      <charset val="186"/>
    </font>
    <font>
      <i/>
      <sz val="10"/>
      <name val="Times New Roman"/>
      <family val="1"/>
      <charset val="186"/>
    </font>
    <font>
      <b/>
      <i/>
      <sz val="12"/>
      <name val="Times New Roman"/>
      <family val="1"/>
      <charset val="186"/>
    </font>
    <font>
      <b/>
      <vertAlign val="subscript"/>
      <sz val="11"/>
      <name val="Times New Roman"/>
      <family val="1"/>
      <charset val="186"/>
    </font>
    <font>
      <b/>
      <sz val="14"/>
      <color theme="1"/>
      <name val="Times New Roman"/>
      <family val="1"/>
      <charset val="186"/>
    </font>
    <font>
      <b/>
      <sz val="10"/>
      <name val="Arial"/>
      <family val="2"/>
      <charset val="186"/>
    </font>
    <font>
      <sz val="10"/>
      <name val="Arial"/>
      <family val="2"/>
      <charset val="186"/>
    </font>
    <font>
      <sz val="11"/>
      <name val="Arial"/>
      <family val="2"/>
    </font>
    <font>
      <vertAlign val="subscript"/>
      <sz val="11"/>
      <name val="Arial"/>
      <family val="2"/>
    </font>
    <font>
      <b/>
      <sz val="10"/>
      <color indexed="10"/>
      <name val="Arial"/>
      <family val="2"/>
    </font>
    <font>
      <vertAlign val="superscript"/>
      <sz val="11"/>
      <name val="Arial"/>
      <family val="2"/>
      <charset val="186"/>
    </font>
    <font>
      <vertAlign val="subscript"/>
      <sz val="8.5"/>
      <name val="Times New Roman"/>
      <family val="1"/>
      <charset val="186"/>
    </font>
    <font>
      <b/>
      <sz val="18"/>
      <color theme="1"/>
      <name val="Times New Roman"/>
      <family val="1"/>
      <charset val="186"/>
    </font>
    <font>
      <b/>
      <sz val="9"/>
      <color theme="1"/>
      <name val="Times New Roman"/>
      <family val="1"/>
      <charset val="186"/>
    </font>
    <font>
      <b/>
      <sz val="14"/>
      <color rgb="FF000000"/>
      <name val="Times New Roman"/>
      <family val="1"/>
      <charset val="186"/>
    </font>
    <font>
      <sz val="14"/>
      <color indexed="8"/>
      <name val="Times New Roman"/>
      <family val="1"/>
      <charset val="186"/>
    </font>
    <font>
      <i/>
      <sz val="14"/>
      <color rgb="FF000000"/>
      <name val="Times New Roman"/>
      <family val="1"/>
      <charset val="186"/>
    </font>
    <font>
      <i/>
      <sz val="14"/>
      <color indexed="8"/>
      <name val="Times New Roman"/>
      <family val="1"/>
      <charset val="186"/>
    </font>
    <font>
      <sz val="14"/>
      <color rgb="FFFF0000"/>
      <name val="Times New Roman"/>
      <family val="1"/>
      <charset val="186"/>
    </font>
    <font>
      <sz val="6"/>
      <color theme="1"/>
      <name val="Times New Roman"/>
      <family val="1"/>
      <charset val="186"/>
    </font>
    <font>
      <b/>
      <sz val="6"/>
      <name val="Times New Roman"/>
      <family val="1"/>
      <charset val="186"/>
    </font>
    <font>
      <i/>
      <sz val="9"/>
      <name val="Times New Roman"/>
      <family val="1"/>
      <charset val="186"/>
    </font>
    <font>
      <b/>
      <sz val="10"/>
      <color indexed="8"/>
      <name val="Times New Roman"/>
      <family val="1"/>
      <charset val="186"/>
    </font>
    <font>
      <b/>
      <vertAlign val="superscript"/>
      <sz val="9"/>
      <color theme="1"/>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rgb="FFE1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24">
    <border>
      <left/>
      <right/>
      <top/>
      <bottom/>
      <diagonal/>
    </border>
    <border>
      <left/>
      <right/>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0" fontId="2" fillId="0" borderId="0"/>
    <xf numFmtId="0" fontId="5" fillId="0" borderId="0"/>
    <xf numFmtId="0" fontId="53" fillId="0" borderId="0" applyNumberFormat="0" applyFill="0" applyBorder="0" applyAlignment="0" applyProtection="0"/>
  </cellStyleXfs>
  <cellXfs count="558">
    <xf numFmtId="0" fontId="0" fillId="0" borderId="0" xfId="0"/>
    <xf numFmtId="0" fontId="14" fillId="0" borderId="0" xfId="0" applyFont="1"/>
    <xf numFmtId="0" fontId="15" fillId="0" borderId="0" xfId="0" applyFont="1"/>
    <xf numFmtId="0" fontId="17" fillId="0" borderId="0" xfId="2" applyFont="1" applyAlignment="1">
      <alignment horizontal="centerContinuous" vertical="top"/>
    </xf>
    <xf numFmtId="0" fontId="14" fillId="0" borderId="0" xfId="0" applyFont="1" applyAlignment="1">
      <alignment vertical="top"/>
    </xf>
    <xf numFmtId="0" fontId="17" fillId="0" borderId="0" xfId="2" applyFont="1" applyAlignment="1">
      <alignment horizontal="centerContinuous" vertical="center"/>
    </xf>
    <xf numFmtId="0" fontId="19" fillId="0" borderId="0" xfId="2" applyFont="1" applyAlignment="1">
      <alignment horizontal="centerContinuous" vertical="center"/>
    </xf>
    <xf numFmtId="0" fontId="17" fillId="0" borderId="0" xfId="2" applyFont="1" applyAlignment="1">
      <alignment horizontal="right" vertical="center"/>
    </xf>
    <xf numFmtId="165" fontId="17" fillId="4" borderId="5" xfId="3" applyNumberFormat="1" applyFont="1" applyFill="1" applyBorder="1" applyAlignment="1">
      <alignment horizontal="center" vertical="center"/>
    </xf>
    <xf numFmtId="0" fontId="20" fillId="3" borderId="0" xfId="2" applyFont="1" applyFill="1" applyAlignment="1">
      <alignment horizontal="left" vertical="center"/>
    </xf>
    <xf numFmtId="0" fontId="17" fillId="0" borderId="0" xfId="0" applyFont="1" applyAlignment="1">
      <alignment vertical="center"/>
    </xf>
    <xf numFmtId="0" fontId="17" fillId="0" borderId="0" xfId="2" applyFont="1" applyAlignment="1">
      <alignment horizontal="right"/>
    </xf>
    <xf numFmtId="0" fontId="20" fillId="0" borderId="0" xfId="2" applyFont="1" applyAlignment="1">
      <alignment vertical="center"/>
    </xf>
    <xf numFmtId="1" fontId="17" fillId="4" borderId="5" xfId="3" applyNumberFormat="1" applyFont="1" applyFill="1" applyBorder="1" applyAlignment="1">
      <alignment horizontal="center" vertical="center"/>
    </xf>
    <xf numFmtId="0" fontId="17" fillId="0" borderId="0" xfId="0" applyFont="1" applyAlignment="1">
      <alignment horizontal="right"/>
    </xf>
    <xf numFmtId="0" fontId="17" fillId="0" borderId="0" xfId="0" applyFont="1" applyAlignment="1">
      <alignment horizontal="left"/>
    </xf>
    <xf numFmtId="0" fontId="17" fillId="0" borderId="0" xfId="0" applyFont="1"/>
    <xf numFmtId="0" fontId="20" fillId="0" borderId="0" xfId="2" applyFont="1" applyAlignment="1">
      <alignment horizontal="left" vertical="center"/>
    </xf>
    <xf numFmtId="2" fontId="17" fillId="4" borderId="5" xfId="3" applyNumberFormat="1" applyFont="1" applyFill="1" applyBorder="1" applyAlignment="1">
      <alignment horizontal="center" vertical="center"/>
    </xf>
    <xf numFmtId="0" fontId="17" fillId="0" borderId="5" xfId="0" applyFont="1" applyBorder="1" applyAlignment="1">
      <alignment horizontal="center" vertical="center"/>
    </xf>
    <xf numFmtId="0" fontId="14" fillId="0" borderId="1" xfId="0" applyFont="1" applyBorder="1"/>
    <xf numFmtId="0" fontId="13" fillId="5" borderId="0" xfId="0" applyFont="1" applyFill="1"/>
    <xf numFmtId="0" fontId="10" fillId="5" borderId="0" xfId="0" applyFont="1" applyFill="1"/>
    <xf numFmtId="0" fontId="36" fillId="5" borderId="0" xfId="0" applyFont="1" applyFill="1" applyAlignment="1">
      <alignment horizontal="center" vertical="center"/>
    </xf>
    <xf numFmtId="0" fontId="14" fillId="5" borderId="0" xfId="0" applyFont="1" applyFill="1"/>
    <xf numFmtId="0" fontId="37" fillId="0" borderId="0" xfId="0" applyFont="1" applyAlignment="1">
      <alignment horizontal="right"/>
    </xf>
    <xf numFmtId="0" fontId="37" fillId="5" borderId="0" xfId="0" applyFont="1" applyFill="1" applyAlignment="1">
      <alignment horizontal="left" vertical="top" wrapText="1"/>
    </xf>
    <xf numFmtId="0" fontId="38" fillId="2" borderId="5" xfId="0" applyFont="1" applyFill="1" applyBorder="1" applyAlignment="1">
      <alignment horizontal="center" vertical="center" wrapText="1"/>
    </xf>
    <xf numFmtId="167" fontId="14" fillId="4" borderId="5" xfId="0" applyNumberFormat="1" applyFont="1" applyFill="1" applyBorder="1" applyAlignment="1" applyProtection="1">
      <alignment horizontal="center" vertical="center" wrapText="1"/>
      <protection locked="0"/>
    </xf>
    <xf numFmtId="167" fontId="14" fillId="0" borderId="5" xfId="0" applyNumberFormat="1" applyFont="1" applyBorder="1" applyAlignment="1">
      <alignment horizontal="center" vertical="center" wrapText="1"/>
    </xf>
    <xf numFmtId="167" fontId="37" fillId="0" borderId="5" xfId="0" applyNumberFormat="1" applyFont="1" applyBorder="1" applyAlignment="1" applyProtection="1">
      <alignment horizontal="center" vertical="center" wrapText="1"/>
      <protection locked="0"/>
    </xf>
    <xf numFmtId="49" fontId="37" fillId="0" borderId="0" xfId="0" applyNumberFormat="1" applyFont="1" applyAlignment="1" applyProtection="1">
      <alignment horizontal="right" wrapText="1"/>
      <protection locked="0"/>
    </xf>
    <xf numFmtId="166" fontId="14" fillId="0" borderId="0" xfId="0" applyNumberFormat="1" applyFont="1" applyAlignment="1" applyProtection="1">
      <alignment horizontal="center" vertical="center" wrapText="1"/>
      <protection locked="0"/>
    </xf>
    <xf numFmtId="167" fontId="14" fillId="0" borderId="0" xfId="0" applyNumberFormat="1" applyFont="1" applyAlignment="1" applyProtection="1">
      <alignment horizontal="center" vertical="center" wrapText="1"/>
      <protection locked="0"/>
    </xf>
    <xf numFmtId="166" fontId="17" fillId="0" borderId="0" xfId="0" applyNumberFormat="1" applyFont="1" applyAlignment="1" applyProtection="1">
      <alignment horizontal="center" vertical="center" wrapText="1"/>
      <protection locked="0"/>
    </xf>
    <xf numFmtId="166" fontId="10" fillId="0" borderId="0" xfId="0" applyNumberFormat="1" applyFont="1" applyAlignment="1" applyProtection="1">
      <alignment horizontal="center" vertical="center" wrapText="1"/>
      <protection locked="0"/>
    </xf>
    <xf numFmtId="167" fontId="10" fillId="0" borderId="0" xfId="0" applyNumberFormat="1" applyFont="1" applyAlignment="1" applyProtection="1">
      <alignment horizontal="center" vertical="center" wrapText="1"/>
      <protection locked="0"/>
    </xf>
    <xf numFmtId="49" fontId="14" fillId="0" borderId="0" xfId="0" applyNumberFormat="1" applyFont="1" applyAlignment="1" applyProtection="1">
      <alignment horizontal="right" wrapText="1"/>
      <protection locked="0"/>
    </xf>
    <xf numFmtId="3" fontId="14" fillId="0" borderId="5" xfId="0" applyNumberFormat="1" applyFont="1" applyBorder="1" applyAlignment="1">
      <alignment horizontal="center" vertical="center" wrapText="1"/>
    </xf>
    <xf numFmtId="0" fontId="37" fillId="0" borderId="0" xfId="0" applyFont="1" applyAlignment="1" applyProtection="1">
      <alignment wrapText="1"/>
      <protection locked="0"/>
    </xf>
    <xf numFmtId="166" fontId="39" fillId="0" borderId="5" xfId="0" applyNumberFormat="1" applyFont="1" applyBorder="1" applyAlignment="1" applyProtection="1">
      <alignment horizontal="center" vertical="center" wrapText="1"/>
      <protection locked="0"/>
    </xf>
    <xf numFmtId="0" fontId="13" fillId="0" borderId="0" xfId="0" applyFont="1" applyAlignment="1" applyProtection="1">
      <alignment horizontal="right" wrapText="1"/>
      <protection locked="0"/>
    </xf>
    <xf numFmtId="0" fontId="10" fillId="5" borderId="0" xfId="0" applyFont="1" applyFill="1" applyAlignment="1">
      <alignment horizontal="center" wrapText="1"/>
    </xf>
    <xf numFmtId="2" fontId="19" fillId="4" borderId="5" xfId="0" applyNumberFormat="1" applyFont="1" applyFill="1" applyBorder="1" applyAlignment="1">
      <alignment horizontal="center" vertical="center" wrapText="1"/>
    </xf>
    <xf numFmtId="0" fontId="14" fillId="5" borderId="1" xfId="0" applyFont="1" applyFill="1" applyBorder="1"/>
    <xf numFmtId="0" fontId="37" fillId="5" borderId="1" xfId="0" applyFont="1" applyFill="1" applyBorder="1" applyAlignment="1">
      <alignment wrapText="1"/>
    </xf>
    <xf numFmtId="0" fontId="14" fillId="5" borderId="1" xfId="0" applyFont="1" applyFill="1" applyBorder="1" applyAlignment="1">
      <alignment wrapText="1"/>
    </xf>
    <xf numFmtId="165" fontId="14" fillId="0" borderId="5" xfId="0" applyNumberFormat="1" applyFont="1" applyBorder="1" applyAlignment="1" applyProtection="1">
      <alignment horizontal="center" vertical="top" wrapText="1"/>
      <protection locked="0"/>
    </xf>
    <xf numFmtId="167" fontId="39" fillId="0" borderId="5" xfId="0" applyNumberFormat="1" applyFont="1" applyBorder="1" applyAlignment="1" applyProtection="1">
      <alignment horizontal="center" vertical="center" wrapText="1"/>
      <protection locked="0"/>
    </xf>
    <xf numFmtId="0" fontId="10" fillId="5" borderId="0" xfId="0" applyFont="1" applyFill="1" applyAlignment="1">
      <alignment wrapText="1"/>
    </xf>
    <xf numFmtId="167" fontId="14" fillId="4" borderId="5" xfId="0" applyNumberFormat="1" applyFont="1" applyFill="1" applyBorder="1" applyAlignment="1" applyProtection="1">
      <alignment horizontal="center" vertical="top" wrapText="1"/>
      <protection locked="0"/>
    </xf>
    <xf numFmtId="167" fontId="14" fillId="0" borderId="5" xfId="0" applyNumberFormat="1" applyFont="1" applyBorder="1" applyAlignment="1" applyProtection="1">
      <alignment horizontal="center" vertical="top" wrapText="1"/>
      <protection locked="0"/>
    </xf>
    <xf numFmtId="166" fontId="13" fillId="0" borderId="0" xfId="0" applyNumberFormat="1" applyFont="1" applyAlignment="1" applyProtection="1">
      <alignment horizontal="center" vertical="center" wrapText="1"/>
      <protection locked="0"/>
    </xf>
    <xf numFmtId="0" fontId="10" fillId="0" borderId="0" xfId="0" applyFont="1" applyAlignment="1">
      <alignment horizontal="left"/>
    </xf>
    <xf numFmtId="0" fontId="13" fillId="0" borderId="1" xfId="0" applyFont="1" applyBorder="1" applyAlignment="1">
      <alignment horizontal="left"/>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167" fontId="24" fillId="4" borderId="5" xfId="0" applyNumberFormat="1" applyFont="1" applyFill="1" applyBorder="1" applyAlignment="1" applyProtection="1">
      <alignment horizontal="center" vertical="top" wrapText="1"/>
      <protection locked="0"/>
    </xf>
    <xf numFmtId="167" fontId="24" fillId="0" borderId="5" xfId="0" applyNumberFormat="1" applyFont="1" applyBorder="1" applyAlignment="1">
      <alignment horizontal="center" vertical="center" wrapText="1"/>
    </xf>
    <xf numFmtId="0" fontId="20" fillId="0" borderId="0" xfId="3" applyFont="1" applyAlignment="1">
      <alignment vertical="center"/>
    </xf>
    <xf numFmtId="0" fontId="20" fillId="0" borderId="5" xfId="3" applyFont="1" applyBorder="1" applyAlignment="1">
      <alignment horizontal="center" vertical="center"/>
    </xf>
    <xf numFmtId="0" fontId="17" fillId="0" borderId="0" xfId="0" applyFont="1" applyAlignment="1">
      <alignment vertical="top"/>
    </xf>
    <xf numFmtId="0" fontId="17" fillId="0" borderId="0" xfId="0" applyFont="1" applyAlignment="1">
      <alignment horizontal="centerContinuous" vertical="top"/>
    </xf>
    <xf numFmtId="0" fontId="17" fillId="0" borderId="0" xfId="2" applyFont="1" applyAlignment="1">
      <alignment vertical="center"/>
    </xf>
    <xf numFmtId="0" fontId="17" fillId="0" borderId="0" xfId="2" applyFont="1" applyAlignment="1">
      <alignment horizontal="center" vertical="center"/>
    </xf>
    <xf numFmtId="0" fontId="27" fillId="0" borderId="0" xfId="3" applyFont="1" applyAlignment="1">
      <alignment vertical="center"/>
    </xf>
    <xf numFmtId="0" fontId="23" fillId="0" borderId="0" xfId="3" applyFont="1" applyAlignment="1">
      <alignment vertical="center"/>
    </xf>
    <xf numFmtId="0" fontId="19" fillId="0" borderId="0" xfId="3" applyFont="1" applyAlignment="1">
      <alignment vertical="center"/>
    </xf>
    <xf numFmtId="1" fontId="26" fillId="0" borderId="0" xfId="3" applyNumberFormat="1" applyFont="1" applyAlignment="1">
      <alignment horizontal="center" vertical="center"/>
    </xf>
    <xf numFmtId="165" fontId="26" fillId="0" borderId="0" xfId="3" applyNumberFormat="1" applyFont="1" applyAlignment="1">
      <alignment horizontal="center" vertical="center"/>
    </xf>
    <xf numFmtId="0" fontId="28" fillId="0" borderId="0" xfId="0" applyFont="1" applyAlignment="1">
      <alignment vertical="center"/>
    </xf>
    <xf numFmtId="0" fontId="21" fillId="0" borderId="0" xfId="3" applyFont="1" applyAlignment="1">
      <alignment horizontal="center"/>
    </xf>
    <xf numFmtId="0" fontId="29" fillId="0" borderId="0" xfId="3" applyFont="1" applyAlignment="1">
      <alignment horizontal="center"/>
    </xf>
    <xf numFmtId="0" fontId="25" fillId="0" borderId="0" xfId="3" applyFont="1" applyAlignment="1">
      <alignment vertical="center"/>
    </xf>
    <xf numFmtId="0" fontId="12" fillId="0" borderId="0" xfId="0" applyFont="1"/>
    <xf numFmtId="2" fontId="17" fillId="4" borderId="4" xfId="3" applyNumberFormat="1" applyFont="1" applyFill="1" applyBorder="1" applyAlignment="1">
      <alignment horizontal="center" vertical="center"/>
    </xf>
    <xf numFmtId="2" fontId="17" fillId="4" borderId="13" xfId="3" applyNumberFormat="1" applyFont="1" applyFill="1" applyBorder="1" applyAlignment="1">
      <alignment horizontal="center" vertical="center"/>
    </xf>
    <xf numFmtId="0" fontId="28" fillId="0" borderId="5" xfId="2" applyFont="1" applyBorder="1" applyAlignment="1">
      <alignment horizontal="left" vertical="center"/>
    </xf>
    <xf numFmtId="2" fontId="17" fillId="4" borderId="10" xfId="3" applyNumberFormat="1" applyFont="1" applyFill="1" applyBorder="1" applyAlignment="1">
      <alignment horizontal="center" vertical="center"/>
    </xf>
    <xf numFmtId="0" fontId="20" fillId="0" borderId="0" xfId="3" applyFont="1" applyAlignment="1">
      <alignment vertical="center" wrapText="1"/>
    </xf>
    <xf numFmtId="0" fontId="10" fillId="0" borderId="0" xfId="0" applyFont="1"/>
    <xf numFmtId="0" fontId="13" fillId="0" borderId="0" xfId="0" applyFont="1"/>
    <xf numFmtId="0" fontId="44" fillId="0" borderId="0" xfId="0" applyFont="1"/>
    <xf numFmtId="166" fontId="14" fillId="4" borderId="5" xfId="0" applyNumberFormat="1" applyFont="1" applyFill="1" applyBorder="1" applyAlignment="1" applyProtection="1">
      <alignment horizontal="center" vertical="top" wrapText="1"/>
      <protection locked="0"/>
    </xf>
    <xf numFmtId="0" fontId="14" fillId="0" borderId="9" xfId="0" applyFont="1" applyBorder="1" applyAlignment="1" applyProtection="1">
      <alignment wrapText="1"/>
      <protection locked="0"/>
    </xf>
    <xf numFmtId="0" fontId="47" fillId="0" borderId="5" xfId="0" applyFont="1" applyBorder="1" applyAlignment="1">
      <alignment horizontal="center" vertical="center"/>
    </xf>
    <xf numFmtId="0" fontId="47" fillId="0" borderId="5" xfId="0" applyFont="1" applyBorder="1" applyAlignment="1">
      <alignment horizontal="center" vertical="center" wrapText="1"/>
    </xf>
    <xf numFmtId="0" fontId="47" fillId="0" borderId="15" xfId="0" applyFont="1" applyBorder="1" applyAlignment="1">
      <alignment horizontal="center" vertical="center" wrapText="1"/>
    </xf>
    <xf numFmtId="165" fontId="17" fillId="4" borderId="5" xfId="0" applyNumberFormat="1" applyFont="1" applyFill="1" applyBorder="1" applyAlignment="1">
      <alignment horizontal="center" vertical="center"/>
    </xf>
    <xf numFmtId="0" fontId="17" fillId="4" borderId="5" xfId="0" applyFont="1" applyFill="1" applyBorder="1" applyAlignment="1">
      <alignment horizontal="center"/>
    </xf>
    <xf numFmtId="0" fontId="20" fillId="0" borderId="5" xfId="0" applyFont="1" applyBorder="1" applyAlignment="1">
      <alignment vertical="center" wrapText="1"/>
    </xf>
    <xf numFmtId="0" fontId="20" fillId="0" borderId="5" xfId="0" applyFont="1" applyBorder="1" applyAlignment="1">
      <alignment vertical="center"/>
    </xf>
    <xf numFmtId="0" fontId="17" fillId="0" borderId="5" xfId="0" applyFont="1" applyBorder="1" applyAlignment="1">
      <alignment horizontal="center"/>
    </xf>
    <xf numFmtId="165" fontId="17" fillId="0" borderId="5" xfId="0" applyNumberFormat="1" applyFont="1" applyBorder="1" applyAlignment="1">
      <alignment horizontal="center" vertical="center"/>
    </xf>
    <xf numFmtId="0" fontId="48" fillId="0" borderId="0" xfId="0" applyFont="1"/>
    <xf numFmtId="0" fontId="49" fillId="0" borderId="0" xfId="0" applyFont="1"/>
    <xf numFmtId="0" fontId="49" fillId="0" borderId="1" xfId="0" applyFont="1" applyBorder="1"/>
    <xf numFmtId="0" fontId="20" fillId="6" borderId="5" xfId="0" applyFont="1" applyFill="1" applyBorder="1" applyAlignment="1">
      <alignment vertical="center"/>
    </xf>
    <xf numFmtId="0" fontId="49" fillId="0" borderId="1" xfId="0" applyFont="1" applyBorder="1" applyAlignment="1">
      <alignment vertical="top"/>
    </xf>
    <xf numFmtId="4" fontId="17" fillId="4" borderId="5" xfId="0" applyNumberFormat="1" applyFont="1" applyFill="1" applyBorder="1" applyAlignment="1" applyProtection="1">
      <alignment horizontal="center" vertical="center" wrapText="1"/>
      <protection locked="0"/>
    </xf>
    <xf numFmtId="9" fontId="17" fillId="4" borderId="5" xfId="1" applyFont="1" applyFill="1" applyBorder="1" applyAlignment="1" applyProtection="1">
      <alignment horizontal="center" vertical="center" wrapText="1"/>
      <protection locked="0"/>
    </xf>
    <xf numFmtId="166" fontId="9" fillId="5" borderId="1" xfId="0" applyNumberFormat="1" applyFont="1" applyFill="1" applyBorder="1" applyAlignment="1">
      <alignment horizontal="center" wrapText="1"/>
    </xf>
    <xf numFmtId="166" fontId="9" fillId="0" borderId="12" xfId="0" applyNumberFormat="1" applyFont="1" applyBorder="1" applyAlignment="1">
      <alignment horizontal="center" wrapText="1"/>
    </xf>
    <xf numFmtId="4" fontId="17" fillId="0" borderId="1" xfId="0" applyNumberFormat="1" applyFont="1" applyBorder="1" applyAlignment="1" applyProtection="1">
      <alignment horizontal="right" vertical="center" wrapText="1"/>
      <protection locked="0"/>
    </xf>
    <xf numFmtId="0" fontId="53" fillId="5" borderId="0" xfId="6" applyFill="1"/>
    <xf numFmtId="0" fontId="24" fillId="0" borderId="0" xfId="0" applyFont="1"/>
    <xf numFmtId="0" fontId="27"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0" xfId="0" applyFont="1" applyAlignment="1">
      <alignment horizontal="right"/>
    </xf>
    <xf numFmtId="0" fontId="24" fillId="0" borderId="5" xfId="0" applyFont="1" applyBorder="1" applyAlignment="1">
      <alignment horizontal="center"/>
    </xf>
    <xf numFmtId="0" fontId="39" fillId="0" borderId="5" xfId="0" applyFont="1" applyBorder="1" applyAlignment="1">
      <alignment horizontal="center"/>
    </xf>
    <xf numFmtId="0" fontId="24" fillId="4" borderId="5" xfId="0" applyFont="1" applyFill="1" applyBorder="1" applyAlignment="1">
      <alignment horizontal="center"/>
    </xf>
    <xf numFmtId="0" fontId="24" fillId="0" borderId="1" xfId="0" applyFont="1" applyBorder="1" applyAlignment="1">
      <alignment horizontal="right"/>
    </xf>
    <xf numFmtId="165" fontId="24" fillId="0" borderId="5" xfId="0" applyNumberFormat="1" applyFont="1" applyBorder="1" applyAlignment="1">
      <alignment horizontal="center"/>
    </xf>
    <xf numFmtId="0" fontId="24" fillId="0" borderId="9" xfId="0" applyFont="1" applyBorder="1"/>
    <xf numFmtId="0" fontId="24" fillId="0" borderId="10" xfId="0" applyFont="1" applyBorder="1" applyAlignment="1">
      <alignment horizontal="center"/>
    </xf>
    <xf numFmtId="0" fontId="24" fillId="0" borderId="5" xfId="0" applyFont="1" applyBorder="1" applyAlignment="1">
      <alignment horizontal="center" vertical="center" wrapText="1"/>
    </xf>
    <xf numFmtId="0" fontId="24" fillId="0" borderId="3" xfId="0" applyFont="1" applyBorder="1" applyAlignment="1">
      <alignment horizontal="right" vertical="center" wrapText="1"/>
    </xf>
    <xf numFmtId="168" fontId="18" fillId="0" borderId="3" xfId="0" applyNumberFormat="1" applyFont="1" applyBorder="1" applyAlignment="1">
      <alignment horizontal="center" vertical="center"/>
    </xf>
    <xf numFmtId="0" fontId="24" fillId="0" borderId="2" xfId="0" applyFont="1" applyBorder="1" applyAlignment="1">
      <alignment horizontal="center" vertical="center"/>
    </xf>
    <xf numFmtId="164" fontId="39" fillId="0" borderId="5" xfId="0" applyNumberFormat="1" applyFont="1" applyBorder="1" applyAlignment="1">
      <alignment horizontal="center"/>
    </xf>
    <xf numFmtId="0" fontId="14" fillId="0" borderId="1" xfId="0" applyFont="1" applyBorder="1" applyAlignment="1">
      <alignment horizontal="center"/>
    </xf>
    <xf numFmtId="0" fontId="14" fillId="0" borderId="1" xfId="0" applyFont="1" applyBorder="1" applyAlignment="1">
      <alignment vertical="top" wrapText="1"/>
    </xf>
    <xf numFmtId="0" fontId="14" fillId="0" borderId="1" xfId="0" applyFont="1" applyBorder="1" applyAlignment="1">
      <alignment wrapText="1"/>
    </xf>
    <xf numFmtId="0" fontId="13" fillId="0" borderId="0" xfId="0" applyFont="1" applyAlignment="1">
      <alignment horizontal="center"/>
    </xf>
    <xf numFmtId="0" fontId="13" fillId="0" borderId="0" xfId="0" applyFont="1" applyAlignment="1">
      <alignment horizontal="left"/>
    </xf>
    <xf numFmtId="0" fontId="42" fillId="0" borderId="0" xfId="0" applyFont="1" applyAlignment="1">
      <alignment vertical="center"/>
    </xf>
    <xf numFmtId="165" fontId="14" fillId="0" borderId="0" xfId="0" applyNumberFormat="1" applyFont="1"/>
    <xf numFmtId="0" fontId="20" fillId="2" borderId="5" xfId="0" applyFont="1" applyFill="1" applyBorder="1" applyAlignment="1">
      <alignment horizontal="center" vertical="center" wrapText="1"/>
    </xf>
    <xf numFmtId="0" fontId="42" fillId="0" borderId="6" xfId="0" applyFont="1" applyBorder="1" applyAlignment="1">
      <alignment horizontal="right" vertical="center"/>
    </xf>
    <xf numFmtId="0" fontId="21" fillId="0" borderId="0" xfId="0" applyFont="1" applyAlignment="1">
      <alignment vertical="center"/>
    </xf>
    <xf numFmtId="165" fontId="17" fillId="0" borderId="5" xfId="3" applyNumberFormat="1" applyFont="1" applyBorder="1" applyAlignment="1">
      <alignment horizontal="center" vertical="center"/>
    </xf>
    <xf numFmtId="0" fontId="0" fillId="0" borderId="0" xfId="0" applyAlignment="1">
      <alignment vertical="center"/>
    </xf>
    <xf numFmtId="0" fontId="0" fillId="2" borderId="16" xfId="0" applyFill="1" applyBorder="1" applyAlignment="1">
      <alignment vertical="center"/>
    </xf>
    <xf numFmtId="0" fontId="63" fillId="2" borderId="17" xfId="0" applyFont="1" applyFill="1" applyBorder="1" applyAlignment="1">
      <alignment vertical="center"/>
    </xf>
    <xf numFmtId="1" fontId="63" fillId="0" borderId="5" xfId="0" applyNumberFormat="1" applyFont="1" applyBorder="1" applyAlignment="1">
      <alignment horizontal="center"/>
    </xf>
    <xf numFmtId="1" fontId="63" fillId="0" borderId="5" xfId="0" applyNumberFormat="1" applyFont="1" applyBorder="1" applyAlignment="1">
      <alignment horizontal="center" vertical="center"/>
    </xf>
    <xf numFmtId="0" fontId="63" fillId="2" borderId="18" xfId="0" applyFont="1" applyFill="1" applyBorder="1" applyAlignment="1">
      <alignment vertical="center"/>
    </xf>
    <xf numFmtId="1" fontId="63" fillId="0" borderId="19" xfId="0" applyNumberFormat="1" applyFont="1" applyBorder="1" applyAlignment="1">
      <alignment horizontal="center"/>
    </xf>
    <xf numFmtId="1" fontId="63" fillId="0" borderId="19"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64" fillId="2" borderId="17" xfId="0" applyFont="1" applyFill="1" applyBorder="1" applyAlignment="1">
      <alignment horizontal="left" vertical="center"/>
    </xf>
    <xf numFmtId="165" fontId="64" fillId="0" borderId="2" xfId="0" applyNumberFormat="1" applyFont="1" applyBorder="1" applyAlignment="1">
      <alignment horizontal="center" vertical="center"/>
    </xf>
    <xf numFmtId="165" fontId="64" fillId="0" borderId="3"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64" fillId="2" borderId="18" xfId="0" applyFont="1" applyFill="1" applyBorder="1" applyAlignment="1">
      <alignment horizontal="left" vertical="center"/>
    </xf>
    <xf numFmtId="165" fontId="64" fillId="0" borderId="20" xfId="0" applyNumberFormat="1" applyFont="1" applyBorder="1" applyAlignment="1">
      <alignment horizontal="center" vertical="center"/>
    </xf>
    <xf numFmtId="165" fontId="64" fillId="0" borderId="21" xfId="0" applyNumberFormat="1" applyFont="1" applyBorder="1" applyAlignment="1">
      <alignment horizontal="center" vertical="center"/>
    </xf>
    <xf numFmtId="165" fontId="2" fillId="0" borderId="20" xfId="0" applyNumberFormat="1" applyFont="1" applyBorder="1" applyAlignment="1">
      <alignment horizontal="center" vertical="center"/>
    </xf>
    <xf numFmtId="0" fontId="66" fillId="0" borderId="0" xfId="0" applyFont="1" applyAlignment="1">
      <alignment vertical="center"/>
    </xf>
    <xf numFmtId="1" fontId="0" fillId="0" borderId="0" xfId="0" applyNumberFormat="1"/>
    <xf numFmtId="0" fontId="64" fillId="0" borderId="5" xfId="0" applyFont="1" applyBorder="1" applyAlignment="1">
      <alignment horizontal="left" vertical="center"/>
    </xf>
    <xf numFmtId="0" fontId="64" fillId="0" borderId="5" xfId="0" applyFont="1" applyBorder="1" applyAlignment="1">
      <alignment horizontal="center" vertical="center"/>
    </xf>
    <xf numFmtId="0" fontId="64" fillId="0" borderId="5" xfId="0" applyFont="1" applyBorder="1" applyAlignment="1">
      <alignment horizontal="center" vertical="center" wrapText="1"/>
    </xf>
    <xf numFmtId="165" fontId="64" fillId="0" borderId="5" xfId="0" applyNumberFormat="1" applyFont="1" applyBorder="1" applyAlignment="1">
      <alignment horizontal="center" vertical="center"/>
    </xf>
    <xf numFmtId="1" fontId="64" fillId="0" borderId="5" xfId="0" applyNumberFormat="1" applyFont="1" applyBorder="1" applyAlignment="1">
      <alignment horizontal="center" vertical="center"/>
    </xf>
    <xf numFmtId="0" fontId="10" fillId="0" borderId="0" xfId="0" applyFont="1" applyAlignment="1">
      <alignment vertical="top"/>
    </xf>
    <xf numFmtId="1" fontId="17" fillId="0" borderId="7" xfId="0" applyNumberFormat="1" applyFont="1" applyBorder="1" applyAlignment="1">
      <alignment horizontal="center"/>
    </xf>
    <xf numFmtId="1" fontId="17" fillId="0" borderId="9" xfId="0" applyNumberFormat="1" applyFont="1" applyBorder="1" applyAlignment="1">
      <alignment horizontal="center"/>
    </xf>
    <xf numFmtId="0" fontId="27" fillId="0" borderId="5" xfId="3" applyFont="1" applyBorder="1" applyAlignment="1">
      <alignment vertical="center"/>
    </xf>
    <xf numFmtId="0" fontId="21" fillId="2" borderId="5" xfId="3" applyFont="1" applyFill="1" applyBorder="1" applyAlignment="1">
      <alignment horizontal="center" vertical="center"/>
    </xf>
    <xf numFmtId="0" fontId="21" fillId="2" borderId="5" xfId="3" applyFont="1" applyFill="1" applyBorder="1" applyAlignment="1">
      <alignment horizontal="center" vertical="center" wrapText="1"/>
    </xf>
    <xf numFmtId="0" fontId="20" fillId="2" borderId="5" xfId="3" applyFont="1" applyFill="1" applyBorder="1" applyAlignment="1">
      <alignment horizontal="center" vertical="center"/>
    </xf>
    <xf numFmtId="0" fontId="12" fillId="2" borderId="5" xfId="0" applyFont="1" applyFill="1" applyBorder="1" applyAlignment="1">
      <alignment horizontal="center" vertical="center"/>
    </xf>
    <xf numFmtId="0" fontId="17" fillId="0" borderId="4" xfId="0" applyFont="1" applyBorder="1" applyAlignment="1">
      <alignment horizontal="left"/>
    </xf>
    <xf numFmtId="0" fontId="17" fillId="0" borderId="12" xfId="0" applyFont="1" applyBorder="1" applyAlignment="1">
      <alignment horizontal="left"/>
    </xf>
    <xf numFmtId="0" fontId="17" fillId="0" borderId="6" xfId="0" applyFont="1" applyBorder="1"/>
    <xf numFmtId="0" fontId="17" fillId="0" borderId="10" xfId="0" applyFont="1" applyBorder="1"/>
    <xf numFmtId="0" fontId="17" fillId="0" borderId="12" xfId="0" applyFont="1" applyBorder="1"/>
    <xf numFmtId="0" fontId="17" fillId="2" borderId="3" xfId="0" applyFont="1" applyFill="1" applyBorder="1" applyAlignment="1">
      <alignment horizontal="center" vertical="center"/>
    </xf>
    <xf numFmtId="0" fontId="17" fillId="0" borderId="4" xfId="0" applyFont="1" applyBorder="1"/>
    <xf numFmtId="1" fontId="17" fillId="0" borderId="0" xfId="0" applyNumberFormat="1" applyFont="1" applyAlignment="1">
      <alignment horizontal="center"/>
    </xf>
    <xf numFmtId="2" fontId="17" fillId="0" borderId="1" xfId="0" applyNumberFormat="1" applyFont="1" applyBorder="1" applyAlignment="1">
      <alignment horizontal="center"/>
    </xf>
    <xf numFmtId="0" fontId="17" fillId="2" borderId="4" xfId="0" applyFont="1" applyFill="1" applyBorder="1" applyAlignment="1">
      <alignment horizontal="center" vertical="center"/>
    </xf>
    <xf numFmtId="0" fontId="17" fillId="0" borderId="15" xfId="0" applyFont="1" applyBorder="1" applyAlignment="1">
      <alignment horizontal="center"/>
    </xf>
    <xf numFmtId="0" fontId="17" fillId="0" borderId="14" xfId="0" applyFont="1" applyBorder="1" applyAlignment="1">
      <alignment horizontal="center"/>
    </xf>
    <xf numFmtId="0" fontId="17" fillId="0" borderId="13" xfId="0" applyFont="1" applyBorder="1" applyAlignment="1">
      <alignment horizontal="center"/>
    </xf>
    <xf numFmtId="0" fontId="17" fillId="2" borderId="5" xfId="0" applyFont="1" applyFill="1" applyBorder="1" applyAlignment="1">
      <alignment horizontal="center" vertical="center"/>
    </xf>
    <xf numFmtId="2" fontId="17" fillId="0" borderId="5" xfId="0" applyNumberFormat="1" applyFont="1" applyBorder="1" applyAlignment="1">
      <alignment horizontal="center" vertical="center"/>
    </xf>
    <xf numFmtId="0" fontId="8" fillId="4" borderId="5" xfId="0" applyFont="1" applyFill="1" applyBorder="1" applyAlignment="1">
      <alignment horizontal="center" vertical="center"/>
    </xf>
    <xf numFmtId="0" fontId="24" fillId="0" borderId="0" xfId="0" applyFont="1" applyAlignment="1">
      <alignment horizontal="center" vertical="center"/>
    </xf>
    <xf numFmtId="0" fontId="63" fillId="2" borderId="22" xfId="0" applyFont="1" applyFill="1" applyBorder="1" applyAlignment="1">
      <alignment vertical="center"/>
    </xf>
    <xf numFmtId="0" fontId="0" fillId="2" borderId="23" xfId="0" applyFill="1" applyBorder="1" applyAlignment="1">
      <alignment horizontal="center" vertical="center"/>
    </xf>
    <xf numFmtId="1" fontId="63" fillId="0" borderId="15" xfId="0" applyNumberFormat="1" applyFont="1" applyBorder="1" applyAlignment="1">
      <alignment horizontal="center" vertical="center"/>
    </xf>
    <xf numFmtId="1" fontId="63" fillId="0" borderId="0" xfId="0" applyNumberFormat="1" applyFont="1" applyAlignment="1">
      <alignment horizontal="center"/>
    </xf>
    <xf numFmtId="1" fontId="63" fillId="0" borderId="8" xfId="0" applyNumberFormat="1" applyFont="1" applyBorder="1" applyAlignment="1">
      <alignment horizontal="center" vertical="center"/>
    </xf>
    <xf numFmtId="1" fontId="63" fillId="0" borderId="9" xfId="0" applyNumberFormat="1" applyFont="1" applyBorder="1" applyAlignment="1">
      <alignment horizontal="center" vertical="center"/>
    </xf>
    <xf numFmtId="1" fontId="63" fillId="0" borderId="7" xfId="0" applyNumberFormat="1" applyFont="1" applyBorder="1" applyAlignment="1">
      <alignment horizontal="center"/>
    </xf>
    <xf numFmtId="1" fontId="63" fillId="0" borderId="11" xfId="0" applyNumberFormat="1" applyFont="1" applyBorder="1" applyAlignment="1">
      <alignment horizontal="center"/>
    </xf>
    <xf numFmtId="1" fontId="63" fillId="0" borderId="1" xfId="0" applyNumberFormat="1" applyFont="1" applyBorder="1" applyAlignment="1">
      <alignment horizontal="center"/>
    </xf>
    <xf numFmtId="0" fontId="13" fillId="0" borderId="5" xfId="0" applyFont="1" applyBorder="1" applyAlignment="1">
      <alignment horizontal="center"/>
    </xf>
    <xf numFmtId="1" fontId="13" fillId="0" borderId="5" xfId="0" applyNumberFormat="1" applyFont="1" applyBorder="1" applyAlignment="1">
      <alignment horizontal="center"/>
    </xf>
    <xf numFmtId="0" fontId="21" fillId="0" borderId="13" xfId="0" applyFont="1" applyBorder="1" applyAlignment="1">
      <alignment horizontal="left" vertical="top" wrapText="1"/>
    </xf>
    <xf numFmtId="0" fontId="21" fillId="0" borderId="0" xfId="0" applyFont="1" applyAlignment="1">
      <alignment horizontal="right" vertical="center" wrapText="1"/>
    </xf>
    <xf numFmtId="2" fontId="17" fillId="4" borderId="5" xfId="0" applyNumberFormat="1" applyFont="1" applyFill="1" applyBorder="1" applyAlignment="1">
      <alignment horizontal="center" vertical="center"/>
    </xf>
    <xf numFmtId="0" fontId="17" fillId="2" borderId="12" xfId="0" applyFont="1" applyFill="1" applyBorder="1"/>
    <xf numFmtId="0" fontId="17" fillId="2" borderId="4" xfId="0" applyFont="1" applyFill="1" applyBorder="1"/>
    <xf numFmtId="1" fontId="17" fillId="4" borderId="5" xfId="0" applyNumberFormat="1" applyFont="1" applyFill="1" applyBorder="1" applyAlignment="1">
      <alignment horizontal="center" vertical="center"/>
    </xf>
    <xf numFmtId="1" fontId="17" fillId="0" borderId="5" xfId="0" applyNumberFormat="1" applyFont="1" applyBorder="1" applyAlignment="1">
      <alignment horizontal="center" vertical="center"/>
    </xf>
    <xf numFmtId="1" fontId="17" fillId="4" borderId="13" xfId="0" applyNumberFormat="1" applyFont="1" applyFill="1" applyBorder="1" applyAlignment="1">
      <alignment horizontal="center" vertical="center"/>
    </xf>
    <xf numFmtId="1" fontId="23" fillId="2" borderId="5" xfId="0" applyNumberFormat="1" applyFont="1" applyFill="1" applyBorder="1" applyAlignment="1">
      <alignment horizontal="center"/>
    </xf>
    <xf numFmtId="171" fontId="0" fillId="0" borderId="0" xfId="0" applyNumberFormat="1"/>
    <xf numFmtId="1" fontId="63" fillId="0" borderId="13" xfId="0" applyNumberFormat="1" applyFont="1" applyBorder="1" applyAlignment="1">
      <alignment horizontal="center" vertical="center"/>
    </xf>
    <xf numFmtId="1" fontId="63" fillId="0" borderId="14" xfId="0" applyNumberFormat="1" applyFont="1" applyBorder="1" applyAlignment="1">
      <alignment horizontal="center" vertical="center"/>
    </xf>
    <xf numFmtId="1" fontId="14" fillId="0" borderId="0" xfId="0" applyNumberFormat="1" applyFont="1"/>
    <xf numFmtId="0" fontId="17" fillId="4" borderId="5" xfId="0" applyFont="1" applyFill="1" applyBorder="1" applyAlignment="1">
      <alignment horizontal="center" vertical="center"/>
    </xf>
    <xf numFmtId="1" fontId="63" fillId="2" borderId="15" xfId="0" applyNumberFormat="1" applyFont="1" applyFill="1" applyBorder="1" applyAlignment="1">
      <alignment horizontal="center"/>
    </xf>
    <xf numFmtId="1" fontId="63" fillId="2" borderId="15" xfId="0" applyNumberFormat="1" applyFont="1" applyFill="1" applyBorder="1" applyAlignment="1">
      <alignment horizontal="center" vertical="center"/>
    </xf>
    <xf numFmtId="0" fontId="63" fillId="8" borderId="17" xfId="0" applyFont="1" applyFill="1" applyBorder="1" applyAlignment="1">
      <alignment vertical="center"/>
    </xf>
    <xf numFmtId="1" fontId="63" fillId="8" borderId="5" xfId="0" applyNumberFormat="1" applyFont="1" applyFill="1" applyBorder="1" applyAlignment="1">
      <alignment horizontal="center" vertical="center"/>
    </xf>
    <xf numFmtId="1" fontId="17" fillId="0" borderId="0" xfId="0" applyNumberFormat="1" applyFont="1" applyAlignment="1">
      <alignment horizontal="right"/>
    </xf>
    <xf numFmtId="1" fontId="17" fillId="4" borderId="5" xfId="0" applyNumberFormat="1" applyFont="1" applyFill="1" applyBorder="1" applyAlignment="1">
      <alignment horizontal="center"/>
    </xf>
    <xf numFmtId="1" fontId="17" fillId="0" borderId="9" xfId="0" applyNumberFormat="1" applyFont="1" applyBorder="1" applyAlignment="1">
      <alignment horizontal="right"/>
    </xf>
    <xf numFmtId="170" fontId="17" fillId="0" borderId="1" xfId="0" applyNumberFormat="1" applyFont="1" applyBorder="1" applyAlignment="1">
      <alignment horizontal="right"/>
    </xf>
    <xf numFmtId="9" fontId="17" fillId="4" borderId="5" xfId="0" applyNumberFormat="1" applyFont="1" applyFill="1" applyBorder="1" applyAlignment="1">
      <alignment horizontal="center"/>
    </xf>
    <xf numFmtId="1" fontId="17" fillId="0" borderId="2" xfId="0" applyNumberFormat="1" applyFont="1" applyBorder="1" applyAlignment="1">
      <alignment horizontal="center"/>
    </xf>
    <xf numFmtId="1" fontId="17" fillId="0" borderId="3" xfId="0" applyNumberFormat="1" applyFont="1" applyBorder="1" applyAlignment="1">
      <alignment horizontal="center"/>
    </xf>
    <xf numFmtId="1" fontId="17" fillId="0" borderId="4" xfId="0" applyNumberFormat="1" applyFont="1" applyBorder="1" applyAlignment="1">
      <alignment horizontal="center"/>
    </xf>
    <xf numFmtId="1" fontId="17" fillId="2" borderId="3" xfId="0" applyNumberFormat="1" applyFont="1" applyFill="1" applyBorder="1" applyAlignment="1">
      <alignment horizontal="right"/>
    </xf>
    <xf numFmtId="165" fontId="17" fillId="2" borderId="1" xfId="0" applyNumberFormat="1" applyFont="1" applyFill="1" applyBorder="1" applyAlignment="1">
      <alignment horizontal="right"/>
    </xf>
    <xf numFmtId="1" fontId="17" fillId="0" borderId="8" xfId="0" applyNumberFormat="1" applyFont="1" applyBorder="1" applyAlignment="1">
      <alignment horizontal="center"/>
    </xf>
    <xf numFmtId="1" fontId="17" fillId="0" borderId="10" xfId="0" applyNumberFormat="1" applyFont="1" applyBorder="1" applyAlignment="1">
      <alignment horizontal="center"/>
    </xf>
    <xf numFmtId="2" fontId="17" fillId="0" borderId="11" xfId="0" applyNumberFormat="1" applyFont="1" applyBorder="1" applyAlignment="1">
      <alignment horizontal="center"/>
    </xf>
    <xf numFmtId="2" fontId="17" fillId="0" borderId="12" xfId="0" applyNumberFormat="1" applyFont="1" applyBorder="1" applyAlignment="1">
      <alignment horizontal="center"/>
    </xf>
    <xf numFmtId="2" fontId="17" fillId="0" borderId="3" xfId="0" applyNumberFormat="1" applyFont="1" applyBorder="1" applyAlignment="1">
      <alignment horizontal="right"/>
    </xf>
    <xf numFmtId="1" fontId="17" fillId="0" borderId="1" xfId="0" applyNumberFormat="1" applyFont="1" applyBorder="1" applyAlignment="1">
      <alignment horizontal="right"/>
    </xf>
    <xf numFmtId="165" fontId="17" fillId="4" borderId="5" xfId="0" applyNumberFormat="1" applyFont="1" applyFill="1" applyBorder="1" applyAlignment="1">
      <alignment horizontal="center"/>
    </xf>
    <xf numFmtId="0" fontId="17" fillId="2" borderId="2" xfId="0" applyFont="1" applyFill="1" applyBorder="1" applyAlignment="1">
      <alignment horizontal="center" vertical="center"/>
    </xf>
    <xf numFmtId="1" fontId="17" fillId="0" borderId="6" xfId="0" applyNumberFormat="1" applyFont="1" applyBorder="1" applyAlignment="1">
      <alignment horizontal="center"/>
    </xf>
    <xf numFmtId="0" fontId="17" fillId="2" borderId="1" xfId="0" applyFont="1" applyFill="1" applyBorder="1"/>
    <xf numFmtId="0" fontId="17" fillId="0" borderId="9" xfId="0" applyFont="1" applyBorder="1"/>
    <xf numFmtId="0" fontId="17" fillId="0" borderId="1" xfId="0" applyFont="1" applyBorder="1"/>
    <xf numFmtId="0" fontId="17" fillId="2" borderId="3" xfId="0" applyFont="1" applyFill="1" applyBorder="1"/>
    <xf numFmtId="0" fontId="30" fillId="2" borderId="5" xfId="0" applyFont="1" applyFill="1" applyBorder="1" applyAlignment="1">
      <alignment horizontal="center" vertical="center"/>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0" fontId="13" fillId="4" borderId="1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47"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19" fillId="0" borderId="0" xfId="2" applyFont="1" applyAlignment="1">
      <alignment horizontal="center" vertical="top"/>
    </xf>
    <xf numFmtId="0" fontId="16" fillId="0" borderId="0" xfId="0" applyFont="1" applyAlignment="1">
      <alignment horizontal="left" vertical="center"/>
    </xf>
    <xf numFmtId="165" fontId="17" fillId="4" borderId="15" xfId="3" applyNumberFormat="1" applyFont="1" applyFill="1" applyBorder="1" applyAlignment="1">
      <alignment horizontal="center" vertical="center"/>
    </xf>
    <xf numFmtId="0" fontId="23" fillId="9" borderId="0" xfId="0" applyFont="1" applyFill="1" applyAlignment="1">
      <alignment horizontal="right"/>
    </xf>
    <xf numFmtId="1" fontId="24" fillId="0" borderId="0" xfId="0" applyNumberFormat="1" applyFont="1" applyAlignment="1">
      <alignment horizontal="center" vertical="center"/>
    </xf>
    <xf numFmtId="1" fontId="17" fillId="0" borderId="2" xfId="3" applyNumberFormat="1" applyFont="1" applyBorder="1" applyAlignment="1">
      <alignment horizontal="center" vertical="center"/>
    </xf>
    <xf numFmtId="0" fontId="20" fillId="2" borderId="2" xfId="3" applyFont="1" applyFill="1" applyBorder="1" applyAlignment="1">
      <alignment horizontal="center" vertical="center"/>
    </xf>
    <xf numFmtId="165" fontId="17" fillId="0" borderId="5" xfId="3" applyNumberFormat="1" applyFont="1" applyBorder="1" applyAlignment="1" applyProtection="1">
      <alignment horizontal="center" vertical="center"/>
      <protection hidden="1"/>
    </xf>
    <xf numFmtId="0" fontId="47" fillId="0" borderId="5" xfId="3" applyFont="1" applyBorder="1" applyAlignment="1">
      <alignment horizontal="center" vertical="center"/>
    </xf>
    <xf numFmtId="0" fontId="47" fillId="0" borderId="0" xfId="0" applyFont="1"/>
    <xf numFmtId="0" fontId="76" fillId="0" borderId="0" xfId="0" applyFont="1"/>
    <xf numFmtId="0" fontId="47" fillId="0" borderId="13" xfId="3" applyFont="1" applyBorder="1" applyAlignment="1">
      <alignment horizontal="center" vertical="center" wrapText="1"/>
    </xf>
    <xf numFmtId="0" fontId="47" fillId="0" borderId="15" xfId="0" applyFont="1" applyBorder="1" applyAlignment="1">
      <alignment horizontal="center" vertical="center"/>
    </xf>
    <xf numFmtId="0" fontId="47" fillId="0" borderId="4" xfId="3" applyFont="1" applyBorder="1" applyAlignment="1">
      <alignment horizontal="center" vertical="center"/>
    </xf>
    <xf numFmtId="0" fontId="76" fillId="0" borderId="5" xfId="0" applyFont="1" applyBorder="1" applyAlignment="1">
      <alignment horizontal="center" vertical="center" wrapText="1"/>
    </xf>
    <xf numFmtId="0" fontId="47" fillId="0" borderId="4" xfId="3" applyFont="1" applyBorder="1" applyAlignment="1">
      <alignment horizontal="center" vertical="center" wrapText="1"/>
    </xf>
    <xf numFmtId="0" fontId="47" fillId="0" borderId="5" xfId="3" applyFont="1" applyBorder="1" applyAlignment="1">
      <alignment horizontal="center" vertical="center" wrapText="1"/>
    </xf>
    <xf numFmtId="0" fontId="23" fillId="0" borderId="0" xfId="3" applyFont="1" applyAlignment="1">
      <alignment vertical="center" wrapText="1"/>
    </xf>
    <xf numFmtId="0" fontId="47" fillId="0" borderId="2" xfId="0" applyFont="1" applyBorder="1" applyAlignment="1">
      <alignment horizontal="center" vertical="center"/>
    </xf>
    <xf numFmtId="0" fontId="47" fillId="0" borderId="0" xfId="3" applyFont="1" applyAlignment="1">
      <alignment vertical="center" wrapText="1"/>
    </xf>
    <xf numFmtId="1" fontId="10" fillId="0" borderId="4" xfId="0" applyNumberFormat="1" applyFont="1" applyBorder="1" applyAlignment="1">
      <alignment horizontal="center" vertical="center"/>
    </xf>
    <xf numFmtId="1" fontId="10" fillId="4" borderId="5" xfId="0" applyNumberFormat="1" applyFont="1" applyFill="1" applyBorder="1" applyAlignment="1">
      <alignment horizontal="center" vertical="center"/>
    </xf>
    <xf numFmtId="1" fontId="10" fillId="0" borderId="5" xfId="0" applyNumberFormat="1" applyFont="1" applyBorder="1" applyAlignment="1">
      <alignment horizontal="center" vertical="center"/>
    </xf>
    <xf numFmtId="165" fontId="10" fillId="0" borderId="5" xfId="0" applyNumberFormat="1" applyFont="1" applyBorder="1" applyAlignment="1">
      <alignment horizontal="center" vertical="center"/>
    </xf>
    <xf numFmtId="0" fontId="58" fillId="0" borderId="0" xfId="0" applyFont="1" applyAlignment="1">
      <alignment horizontal="center" vertical="center"/>
    </xf>
    <xf numFmtId="2" fontId="16" fillId="0" borderId="0" xfId="0" applyNumberFormat="1" applyFont="1" applyAlignment="1">
      <alignment horizontal="center" vertical="center"/>
    </xf>
    <xf numFmtId="0" fontId="21" fillId="0" borderId="7" xfId="2" applyFont="1" applyBorder="1" applyAlignment="1">
      <alignment vertical="center"/>
    </xf>
    <xf numFmtId="2" fontId="58" fillId="0" borderId="5" xfId="0" applyNumberFormat="1" applyFont="1" applyBorder="1" applyAlignment="1">
      <alignment horizontal="center" vertical="center"/>
    </xf>
    <xf numFmtId="0" fontId="78" fillId="2" borderId="5" xfId="0" applyFont="1" applyFill="1" applyBorder="1" applyAlignment="1">
      <alignment horizontal="center" vertical="center"/>
    </xf>
    <xf numFmtId="2" fontId="19" fillId="0" borderId="5" xfId="0" applyNumberFormat="1" applyFont="1" applyBorder="1" applyAlignment="1">
      <alignment horizontal="center" vertical="center"/>
    </xf>
    <xf numFmtId="2" fontId="19" fillId="0" borderId="5" xfId="0" applyNumberFormat="1" applyFont="1" applyBorder="1" applyAlignment="1">
      <alignment horizontal="center"/>
    </xf>
    <xf numFmtId="1" fontId="17" fillId="0" borderId="4" xfId="3" applyNumberFormat="1" applyFont="1" applyBorder="1" applyAlignment="1">
      <alignment horizontal="center" vertical="center"/>
    </xf>
    <xf numFmtId="0" fontId="17" fillId="0" borderId="0" xfId="2" applyFont="1"/>
    <xf numFmtId="0" fontId="17" fillId="4" borderId="4" xfId="2" applyFont="1" applyFill="1" applyBorder="1" applyAlignment="1">
      <alignment horizontal="center" vertical="center"/>
    </xf>
    <xf numFmtId="0" fontId="17" fillId="4" borderId="5" xfId="2" applyFont="1" applyFill="1" applyBorder="1" applyAlignment="1">
      <alignment horizontal="center" vertical="center"/>
    </xf>
    <xf numFmtId="0" fontId="17" fillId="0" borderId="0" xfId="3" applyFont="1" applyAlignment="1">
      <alignment vertical="center" wrapText="1"/>
    </xf>
    <xf numFmtId="0" fontId="17" fillId="0" borderId="5" xfId="3" applyFont="1" applyBorder="1" applyAlignment="1">
      <alignment horizontal="center" vertical="center"/>
    </xf>
    <xf numFmtId="0" fontId="13" fillId="0" borderId="0" xfId="0" applyFont="1" applyAlignment="1">
      <alignment horizontal="left" vertical="center"/>
    </xf>
    <xf numFmtId="165" fontId="17" fillId="2" borderId="2" xfId="0" applyNumberFormat="1" applyFont="1" applyFill="1" applyBorder="1" applyAlignment="1">
      <alignment horizontal="right"/>
    </xf>
    <xf numFmtId="4" fontId="17" fillId="4" borderId="5" xfId="0" applyNumberFormat="1" applyFont="1" applyFill="1" applyBorder="1" applyAlignment="1">
      <alignment horizontal="center"/>
    </xf>
    <xf numFmtId="0" fontId="49" fillId="0" borderId="0" xfId="0" applyFont="1" applyAlignment="1">
      <alignment horizontal="right"/>
    </xf>
    <xf numFmtId="0" fontId="35" fillId="0" borderId="5" xfId="0" applyFont="1" applyBorder="1" applyAlignment="1">
      <alignment horizontal="center" vertical="center"/>
    </xf>
    <xf numFmtId="0" fontId="14" fillId="4" borderId="5" xfId="0" applyFont="1" applyFill="1" applyBorder="1" applyAlignment="1" applyProtection="1">
      <alignment horizontal="center" wrapText="1"/>
      <protection locked="0"/>
    </xf>
    <xf numFmtId="0" fontId="38" fillId="2" borderId="5" xfId="0" applyFont="1" applyFill="1" applyBorder="1" applyAlignment="1">
      <alignment horizontal="center" vertical="center" wrapText="1"/>
    </xf>
    <xf numFmtId="0" fontId="17" fillId="0" borderId="0" xfId="0" applyFont="1" applyAlignment="1" applyProtection="1">
      <alignment horizontal="center" wrapText="1"/>
      <protection locked="0"/>
    </xf>
    <xf numFmtId="166" fontId="17" fillId="0" borderId="0" xfId="0" applyNumberFormat="1" applyFont="1" applyAlignment="1" applyProtection="1">
      <alignment horizontal="right" vertical="center" wrapText="1"/>
      <protection locked="0"/>
    </xf>
    <xf numFmtId="0" fontId="37" fillId="0" borderId="0" xfId="0" applyFont="1" applyAlignment="1" applyProtection="1">
      <alignment horizontal="right" wrapText="1"/>
      <protection locked="0"/>
    </xf>
    <xf numFmtId="0" fontId="37" fillId="5" borderId="1" xfId="0" applyFont="1" applyFill="1" applyBorder="1" applyAlignment="1">
      <alignment horizontal="left" wrapText="1"/>
    </xf>
    <xf numFmtId="0" fontId="14" fillId="7" borderId="9" xfId="0" applyFont="1" applyFill="1" applyBorder="1" applyAlignment="1">
      <alignment horizontal="left" vertical="top" wrapText="1"/>
    </xf>
    <xf numFmtId="0" fontId="14" fillId="0" borderId="0" xfId="0" applyFont="1" applyAlignment="1" applyProtection="1">
      <alignment horizontal="left" wrapText="1"/>
      <protection locked="0"/>
    </xf>
    <xf numFmtId="0" fontId="17" fillId="0" borderId="0" xfId="0" applyFont="1" applyAlignment="1" applyProtection="1">
      <alignment horizontal="left" wrapText="1"/>
      <protection locked="0"/>
    </xf>
    <xf numFmtId="166" fontId="17" fillId="0" borderId="0" xfId="0" applyNumberFormat="1" applyFont="1" applyAlignment="1" applyProtection="1">
      <alignment horizontal="left" vertical="center" wrapText="1"/>
      <protection locked="0"/>
    </xf>
    <xf numFmtId="0" fontId="17" fillId="6" borderId="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wrapText="1"/>
      <protection locked="0"/>
    </xf>
    <xf numFmtId="0" fontId="17" fillId="6" borderId="4" xfId="0" applyFont="1" applyFill="1" applyBorder="1" applyAlignment="1" applyProtection="1">
      <alignment horizontal="center" vertical="center" wrapText="1"/>
      <protection locked="0"/>
    </xf>
    <xf numFmtId="0" fontId="14" fillId="0" borderId="5" xfId="0" applyFont="1" applyBorder="1" applyAlignment="1" applyProtection="1">
      <alignment horizontal="center" wrapText="1"/>
      <protection locked="0"/>
    </xf>
    <xf numFmtId="0" fontId="39" fillId="0" borderId="0" xfId="0" applyFont="1" applyAlignment="1" applyProtection="1">
      <alignment horizontal="right" wrapText="1"/>
      <protection locked="0"/>
    </xf>
    <xf numFmtId="0" fontId="37" fillId="5" borderId="0" xfId="0" applyFont="1" applyFill="1" applyAlignment="1">
      <alignment horizontal="left" wrapText="1"/>
    </xf>
    <xf numFmtId="0" fontId="10" fillId="0" borderId="0" xfId="0" applyFont="1" applyAlignment="1">
      <alignment horizontal="left"/>
    </xf>
    <xf numFmtId="0" fontId="10" fillId="4" borderId="1" xfId="0" applyFont="1" applyFill="1" applyBorder="1" applyAlignment="1">
      <alignment horizontal="center"/>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0" fillId="5" borderId="0" xfId="0" applyFont="1" applyFill="1" applyAlignment="1">
      <alignment horizontal="right" wrapText="1"/>
    </xf>
    <xf numFmtId="0" fontId="14" fillId="0" borderId="0" xfId="0" applyFont="1" applyAlignment="1" applyProtection="1">
      <alignment horizontal="center" wrapText="1"/>
      <protection locked="0"/>
    </xf>
    <xf numFmtId="0" fontId="38" fillId="0" borderId="9" xfId="0" applyFont="1" applyBorder="1" applyAlignment="1" applyProtection="1">
      <alignment horizontal="left" wrapText="1"/>
      <protection locked="0"/>
    </xf>
    <xf numFmtId="0" fontId="47" fillId="5" borderId="7" xfId="0" applyFont="1" applyFill="1" applyBorder="1" applyAlignment="1">
      <alignment horizontal="left" wrapText="1"/>
    </xf>
    <xf numFmtId="0" fontId="47" fillId="5" borderId="0" xfId="0" applyFont="1" applyFill="1" applyAlignment="1">
      <alignment horizontal="left" wrapText="1"/>
    </xf>
    <xf numFmtId="166" fontId="70" fillId="0" borderId="0" xfId="0" applyNumberFormat="1" applyFont="1" applyAlignment="1" applyProtection="1">
      <alignment horizontal="left" vertical="center" wrapText="1"/>
      <protection locked="0"/>
    </xf>
    <xf numFmtId="0" fontId="14" fillId="4" borderId="1" xfId="0" applyFont="1" applyFill="1" applyBorder="1" applyAlignment="1" applyProtection="1">
      <alignment horizontal="left" wrapText="1"/>
      <protection locked="0"/>
    </xf>
    <xf numFmtId="166" fontId="17" fillId="4" borderId="5" xfId="0" applyNumberFormat="1" applyFont="1" applyFill="1" applyBorder="1" applyAlignment="1" applyProtection="1">
      <alignment horizontal="center" vertical="center" wrapText="1"/>
      <protection locked="0"/>
    </xf>
    <xf numFmtId="166" fontId="21" fillId="0" borderId="0" xfId="0" applyNumberFormat="1" applyFont="1" applyAlignment="1" applyProtection="1">
      <alignment horizontal="left" vertical="center" wrapText="1"/>
      <protection locked="0"/>
    </xf>
    <xf numFmtId="0" fontId="14" fillId="4" borderId="1" xfId="0" applyFont="1" applyFill="1" applyBorder="1" applyAlignment="1" applyProtection="1">
      <alignment horizontal="left" vertical="top" wrapText="1"/>
      <protection locked="0"/>
    </xf>
    <xf numFmtId="166" fontId="17" fillId="0" borderId="7" xfId="0" applyNumberFormat="1" applyFont="1" applyBorder="1" applyAlignment="1" applyProtection="1">
      <alignment horizontal="left"/>
      <protection locked="0"/>
    </xf>
    <xf numFmtId="166" fontId="17" fillId="0" borderId="0" xfId="0" applyNumberFormat="1" applyFont="1" applyAlignment="1" applyProtection="1">
      <alignment horizontal="left"/>
      <protection locked="0"/>
    </xf>
    <xf numFmtId="0" fontId="14" fillId="6" borderId="0" xfId="0" applyFont="1" applyFill="1" applyAlignment="1">
      <alignment horizont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0" borderId="0" xfId="0" applyFont="1" applyAlignment="1">
      <alignment horizontal="right" vertical="center"/>
    </xf>
    <xf numFmtId="49" fontId="13" fillId="4" borderId="2" xfId="0" applyNumberFormat="1" applyFont="1" applyFill="1" applyBorder="1" applyAlignment="1">
      <alignment horizontal="left" vertical="center"/>
    </xf>
    <xf numFmtId="49" fontId="13" fillId="4" borderId="3" xfId="0" applyNumberFormat="1" applyFont="1" applyFill="1" applyBorder="1" applyAlignment="1">
      <alignment horizontal="left" vertical="center"/>
    </xf>
    <xf numFmtId="49" fontId="13" fillId="4" borderId="4" xfId="0" applyNumberFormat="1" applyFont="1" applyFill="1" applyBorder="1" applyAlignment="1">
      <alignment horizontal="left" vertical="center"/>
    </xf>
    <xf numFmtId="166" fontId="37" fillId="0" borderId="0" xfId="0" applyNumberFormat="1" applyFont="1" applyAlignment="1" applyProtection="1">
      <alignment horizontal="left" wrapText="1"/>
      <protection locked="0"/>
    </xf>
    <xf numFmtId="0" fontId="14" fillId="4" borderId="0" xfId="0" applyFont="1" applyFill="1" applyAlignment="1">
      <alignment horizont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77" fillId="0" borderId="4" xfId="0" applyFont="1" applyBorder="1" applyAlignment="1">
      <alignment horizontal="center" vertical="center"/>
    </xf>
    <xf numFmtId="0" fontId="47" fillId="0" borderId="2" xfId="3" applyFont="1" applyBorder="1" applyAlignment="1">
      <alignment horizontal="center" vertical="center"/>
    </xf>
    <xf numFmtId="0" fontId="47" fillId="0" borderId="4" xfId="3" applyFont="1" applyBorder="1" applyAlignment="1">
      <alignment horizontal="center" vertical="center"/>
    </xf>
    <xf numFmtId="1" fontId="17" fillId="4" borderId="2" xfId="3" applyNumberFormat="1" applyFont="1" applyFill="1" applyBorder="1" applyAlignment="1">
      <alignment horizontal="center" vertical="center"/>
    </xf>
    <xf numFmtId="1" fontId="17" fillId="4" borderId="4" xfId="3" applyNumberFormat="1"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2" fontId="17" fillId="4" borderId="2" xfId="0" applyNumberFormat="1" applyFont="1" applyFill="1" applyBorder="1" applyAlignment="1">
      <alignment horizontal="center" vertical="center"/>
    </xf>
    <xf numFmtId="2" fontId="17" fillId="4" borderId="4" xfId="0" applyNumberFormat="1" applyFont="1" applyFill="1" applyBorder="1" applyAlignment="1">
      <alignment horizontal="center" vertical="center"/>
    </xf>
    <xf numFmtId="2" fontId="17" fillId="4" borderId="2" xfId="3" applyNumberFormat="1" applyFont="1" applyFill="1" applyBorder="1" applyAlignment="1">
      <alignment horizontal="center" vertical="center"/>
    </xf>
    <xf numFmtId="2" fontId="17" fillId="4" borderId="3" xfId="3" applyNumberFormat="1" applyFont="1" applyFill="1" applyBorder="1" applyAlignment="1">
      <alignment horizontal="center" vertical="center"/>
    </xf>
    <xf numFmtId="2" fontId="17" fillId="4" borderId="4" xfId="3" applyNumberFormat="1" applyFont="1" applyFill="1" applyBorder="1" applyAlignment="1">
      <alignment horizontal="center" vertical="center"/>
    </xf>
    <xf numFmtId="165" fontId="28" fillId="0" borderId="4" xfId="3" applyNumberFormat="1" applyFont="1" applyBorder="1" applyAlignment="1">
      <alignment horizontal="center" vertical="center"/>
    </xf>
    <xf numFmtId="165" fontId="28" fillId="0" borderId="5" xfId="3" applyNumberFormat="1" applyFont="1" applyBorder="1" applyAlignment="1">
      <alignment horizontal="center" vertical="center"/>
    </xf>
    <xf numFmtId="1" fontId="79" fillId="0" borderId="5" xfId="3" applyNumberFormat="1" applyFont="1" applyBorder="1" applyAlignment="1">
      <alignment horizontal="center" vertical="center"/>
    </xf>
    <xf numFmtId="0" fontId="21" fillId="2" borderId="2" xfId="3" applyFont="1" applyFill="1" applyBorder="1" applyAlignment="1">
      <alignment horizontal="center" vertical="center" wrapText="1"/>
    </xf>
    <xf numFmtId="0" fontId="21" fillId="2" borderId="4" xfId="3" applyFont="1" applyFill="1" applyBorder="1" applyAlignment="1">
      <alignment horizontal="center" vertical="center" wrapText="1"/>
    </xf>
    <xf numFmtId="0" fontId="20" fillId="2" borderId="2" xfId="3" applyFont="1" applyFill="1" applyBorder="1" applyAlignment="1">
      <alignment horizontal="center" vertical="center"/>
    </xf>
    <xf numFmtId="0" fontId="20" fillId="2" borderId="4" xfId="3" applyFont="1" applyFill="1" applyBorder="1" applyAlignment="1">
      <alignment horizontal="center" vertical="center"/>
    </xf>
    <xf numFmtId="0" fontId="21" fillId="2" borderId="13" xfId="3" applyFont="1" applyFill="1" applyBorder="1" applyAlignment="1">
      <alignment horizontal="center" vertical="center" wrapText="1"/>
    </xf>
    <xf numFmtId="0" fontId="21" fillId="2" borderId="15" xfId="3" applyFont="1" applyFill="1" applyBorder="1" applyAlignment="1">
      <alignment horizontal="center" vertical="center" wrapText="1"/>
    </xf>
    <xf numFmtId="0" fontId="17" fillId="0" borderId="2" xfId="3" applyFont="1" applyBorder="1" applyAlignment="1">
      <alignment horizontal="center" vertical="center"/>
    </xf>
    <xf numFmtId="0" fontId="17" fillId="0" borderId="4" xfId="3" applyFont="1" applyBorder="1" applyAlignment="1">
      <alignment horizontal="center" vertical="center"/>
    </xf>
    <xf numFmtId="0" fontId="77" fillId="0" borderId="5" xfId="3" applyFont="1" applyBorder="1" applyAlignment="1">
      <alignment horizontal="center" vertical="center"/>
    </xf>
    <xf numFmtId="0" fontId="17" fillId="2" borderId="5" xfId="3" applyFont="1" applyFill="1" applyBorder="1" applyAlignment="1">
      <alignment horizontal="center" vertical="center"/>
    </xf>
    <xf numFmtId="0" fontId="42" fillId="2" borderId="5" xfId="0" applyFont="1" applyFill="1" applyBorder="1" applyAlignment="1">
      <alignment horizontal="center" vertical="center"/>
    </xf>
    <xf numFmtId="0" fontId="17" fillId="0" borderId="13" xfId="2" applyFont="1" applyBorder="1" applyAlignment="1">
      <alignment horizontal="center" vertical="center"/>
    </xf>
    <xf numFmtId="0" fontId="17" fillId="0" borderId="15" xfId="2" applyFont="1" applyBorder="1" applyAlignment="1">
      <alignment horizontal="center" vertical="center"/>
    </xf>
    <xf numFmtId="0" fontId="42" fillId="2" borderId="2" xfId="0" applyFont="1" applyFill="1" applyBorder="1" applyAlignment="1">
      <alignment horizontal="center" vertical="center"/>
    </xf>
    <xf numFmtId="0" fontId="42" fillId="2" borderId="4" xfId="0" applyFont="1" applyFill="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165" fontId="17" fillId="0" borderId="13" xfId="0" applyNumberFormat="1" applyFont="1" applyBorder="1" applyAlignment="1">
      <alignment horizontal="center" vertical="center"/>
    </xf>
    <xf numFmtId="165" fontId="17" fillId="0" borderId="15" xfId="0" applyNumberFormat="1" applyFont="1" applyBorder="1" applyAlignment="1">
      <alignment horizontal="center" vertical="center"/>
    </xf>
    <xf numFmtId="1" fontId="31" fillId="0" borderId="2" xfId="3" applyNumberFormat="1" applyFont="1" applyBorder="1" applyAlignment="1">
      <alignment horizontal="center" vertical="center"/>
    </xf>
    <xf numFmtId="1" fontId="31" fillId="0" borderId="4" xfId="3" applyNumberFormat="1" applyFont="1" applyBorder="1" applyAlignment="1">
      <alignment horizontal="center" vertical="center"/>
    </xf>
    <xf numFmtId="0" fontId="23" fillId="0" borderId="9" xfId="3" applyFont="1" applyBorder="1" applyAlignment="1">
      <alignment horizontal="center" vertical="center" wrapText="1"/>
    </xf>
    <xf numFmtId="0" fontId="23" fillId="0" borderId="10" xfId="3" applyFont="1" applyBorder="1" applyAlignment="1">
      <alignment horizontal="center" vertical="center" wrapText="1"/>
    </xf>
    <xf numFmtId="1" fontId="17" fillId="0" borderId="3" xfId="3" applyNumberFormat="1" applyFont="1" applyBorder="1" applyAlignment="1">
      <alignment horizontal="center" vertical="center"/>
    </xf>
    <xf numFmtId="1" fontId="17" fillId="0" borderId="4" xfId="3" applyNumberFormat="1" applyFont="1" applyBorder="1" applyAlignment="1">
      <alignment horizontal="center" vertical="center"/>
    </xf>
    <xf numFmtId="0" fontId="42" fillId="2" borderId="2" xfId="0" applyFont="1" applyFill="1" applyBorder="1" applyAlignment="1">
      <alignment horizontal="center" vertical="center" wrapText="1"/>
    </xf>
    <xf numFmtId="0" fontId="42" fillId="2" borderId="4" xfId="0" applyFont="1" applyFill="1" applyBorder="1" applyAlignment="1">
      <alignment horizontal="center" vertical="center" wrapText="1"/>
    </xf>
    <xf numFmtId="165" fontId="17" fillId="0" borderId="2" xfId="3" applyNumberFormat="1" applyFont="1" applyBorder="1" applyAlignment="1">
      <alignment horizontal="center" vertical="center"/>
    </xf>
    <xf numFmtId="165" fontId="17" fillId="0" borderId="4" xfId="3" applyNumberFormat="1" applyFont="1" applyBorder="1" applyAlignment="1">
      <alignment horizontal="center" vertical="center"/>
    </xf>
    <xf numFmtId="0" fontId="76" fillId="0" borderId="2" xfId="0" applyFont="1" applyBorder="1" applyAlignment="1">
      <alignment horizontal="center" vertical="center"/>
    </xf>
    <xf numFmtId="0" fontId="76" fillId="0" borderId="4" xfId="0" applyFont="1" applyBorder="1" applyAlignment="1">
      <alignment horizontal="center" vertical="center"/>
    </xf>
    <xf numFmtId="0" fontId="17" fillId="0" borderId="9" xfId="3" applyFont="1" applyBorder="1" applyAlignment="1">
      <alignment horizontal="left" vertical="center" wrapText="1"/>
    </xf>
    <xf numFmtId="1" fontId="17" fillId="0" borderId="2" xfId="3" applyNumberFormat="1" applyFont="1" applyBorder="1" applyAlignment="1">
      <alignment horizontal="center" vertical="center"/>
    </xf>
    <xf numFmtId="0" fontId="21" fillId="2" borderId="5" xfId="3" applyFont="1" applyFill="1" applyBorder="1" applyAlignment="1">
      <alignment horizontal="center" vertical="center" wrapText="1"/>
    </xf>
    <xf numFmtId="0" fontId="20" fillId="2" borderId="5" xfId="3" applyFont="1" applyFill="1" applyBorder="1" applyAlignment="1">
      <alignment horizontal="center" vertical="center"/>
    </xf>
    <xf numFmtId="1" fontId="28" fillId="0" borderId="5" xfId="3" applyNumberFormat="1" applyFont="1" applyBorder="1" applyAlignment="1">
      <alignment horizontal="center" vertical="center"/>
    </xf>
    <xf numFmtId="0" fontId="30" fillId="2" borderId="5" xfId="0" applyFont="1" applyFill="1" applyBorder="1" applyAlignment="1">
      <alignment horizontal="center" vertical="center"/>
    </xf>
    <xf numFmtId="0" fontId="23" fillId="0" borderId="0" xfId="2" applyFont="1" applyAlignment="1">
      <alignment horizontal="left" vertical="center"/>
    </xf>
    <xf numFmtId="0" fontId="12" fillId="2" borderId="5" xfId="0" applyFont="1" applyFill="1" applyBorder="1" applyAlignment="1">
      <alignment horizontal="center" vertical="center" wrapText="1"/>
    </xf>
    <xf numFmtId="0" fontId="28" fillId="0" borderId="2" xfId="2" applyFont="1" applyBorder="1" applyAlignment="1">
      <alignment horizontal="left" vertical="center" wrapText="1"/>
    </xf>
    <xf numFmtId="0" fontId="28" fillId="0" borderId="3" xfId="2" applyFont="1" applyBorder="1" applyAlignment="1">
      <alignment horizontal="left" vertical="center" wrapText="1"/>
    </xf>
    <xf numFmtId="0" fontId="28" fillId="0" borderId="4" xfId="2" applyFont="1" applyBorder="1" applyAlignment="1">
      <alignment horizontal="left" vertical="center" wrapText="1"/>
    </xf>
    <xf numFmtId="0" fontId="42" fillId="2" borderId="5" xfId="3" applyFont="1" applyFill="1" applyBorder="1" applyAlignment="1">
      <alignment horizontal="center" vertical="center"/>
    </xf>
    <xf numFmtId="0" fontId="39" fillId="2" borderId="5" xfId="3" applyFont="1" applyFill="1" applyBorder="1" applyAlignment="1">
      <alignment horizontal="center" vertical="center" wrapText="1"/>
    </xf>
    <xf numFmtId="0" fontId="47" fillId="0" borderId="5" xfId="3" applyFont="1" applyBorder="1" applyAlignment="1">
      <alignment horizontal="center" vertical="center"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17" fillId="0" borderId="0" xfId="0" applyFont="1" applyAlignment="1">
      <alignment horizontal="center"/>
    </xf>
    <xf numFmtId="0" fontId="17" fillId="0" borderId="0" xfId="2" applyFont="1" applyAlignment="1">
      <alignment horizontal="left" vertical="center"/>
    </xf>
    <xf numFmtId="0" fontId="17" fillId="0" borderId="0" xfId="0" applyFont="1" applyAlignment="1">
      <alignment horizontal="right" vertical="center"/>
    </xf>
    <xf numFmtId="0" fontId="17" fillId="0" borderId="6" xfId="0" applyFont="1" applyBorder="1" applyAlignment="1">
      <alignment horizontal="right" vertical="center"/>
    </xf>
    <xf numFmtId="0" fontId="23" fillId="0" borderId="1" xfId="2" applyFont="1" applyBorder="1" applyAlignment="1">
      <alignment horizontal="left"/>
    </xf>
    <xf numFmtId="0" fontId="16" fillId="0" borderId="9" xfId="0" applyFont="1" applyBorder="1" applyAlignment="1">
      <alignment horizontal="left" vertical="top"/>
    </xf>
    <xf numFmtId="0" fontId="19" fillId="0" borderId="0" xfId="2" applyFont="1" applyAlignment="1">
      <alignment horizontal="center" vertical="top"/>
    </xf>
    <xf numFmtId="0" fontId="47" fillId="0" borderId="5" xfId="3" applyFont="1" applyBorder="1" applyAlignment="1">
      <alignment horizontal="center" vertical="center"/>
    </xf>
    <xf numFmtId="0" fontId="30" fillId="2" borderId="2" xfId="3" applyFont="1" applyFill="1" applyBorder="1" applyAlignment="1">
      <alignment horizontal="center" vertical="center"/>
    </xf>
    <xf numFmtId="0" fontId="30" fillId="2" borderId="4" xfId="3" applyFont="1" applyFill="1" applyBorder="1" applyAlignment="1">
      <alignment horizontal="center" vertical="center"/>
    </xf>
    <xf numFmtId="0" fontId="17" fillId="4" borderId="0" xfId="0" applyFont="1" applyFill="1" applyAlignment="1">
      <alignment horizontal="center"/>
    </xf>
    <xf numFmtId="165" fontId="31" fillId="0" borderId="2" xfId="3" applyNumberFormat="1" applyFont="1" applyBorder="1" applyAlignment="1">
      <alignment horizontal="left" vertical="center"/>
    </xf>
    <xf numFmtId="165" fontId="31" fillId="0" borderId="3" xfId="3" applyNumberFormat="1" applyFont="1" applyBorder="1" applyAlignment="1">
      <alignment horizontal="left" vertical="center"/>
    </xf>
    <xf numFmtId="165" fontId="31" fillId="0" borderId="1" xfId="3" applyNumberFormat="1" applyFont="1" applyBorder="1" applyAlignment="1">
      <alignment horizontal="left" vertical="center"/>
    </xf>
    <xf numFmtId="165" fontId="31" fillId="0" borderId="4" xfId="3" applyNumberFormat="1" applyFont="1" applyBorder="1" applyAlignment="1">
      <alignment horizontal="left" vertical="center"/>
    </xf>
    <xf numFmtId="0" fontId="30" fillId="2" borderId="13" xfId="3" applyFont="1" applyFill="1" applyBorder="1" applyAlignment="1">
      <alignment horizontal="center" vertical="center"/>
    </xf>
    <xf numFmtId="0" fontId="34" fillId="2" borderId="13" xfId="3" applyFont="1" applyFill="1" applyBorder="1" applyAlignment="1">
      <alignment horizontal="center" vertical="center"/>
    </xf>
    <xf numFmtId="1" fontId="27" fillId="0" borderId="5" xfId="3" applyNumberFormat="1" applyFont="1" applyBorder="1" applyAlignment="1">
      <alignment horizontal="center" vertical="center"/>
    </xf>
    <xf numFmtId="165" fontId="27" fillId="0" borderId="5" xfId="3" applyNumberFormat="1" applyFont="1" applyBorder="1" applyAlignment="1">
      <alignment horizontal="center" vertical="center"/>
    </xf>
    <xf numFmtId="0" fontId="27" fillId="0" borderId="2" xfId="3" applyFont="1" applyBorder="1" applyAlignment="1">
      <alignment horizontal="left" vertical="center"/>
    </xf>
    <xf numFmtId="0" fontId="27" fillId="0" borderId="3" xfId="3" applyFont="1" applyBorder="1" applyAlignment="1">
      <alignment horizontal="left" vertical="center"/>
    </xf>
    <xf numFmtId="0" fontId="27" fillId="0" borderId="4" xfId="3" applyFont="1" applyBorder="1" applyAlignment="1">
      <alignment horizontal="left" vertical="center"/>
    </xf>
    <xf numFmtId="169" fontId="26" fillId="4" borderId="2" xfId="3" applyNumberFormat="1" applyFont="1" applyFill="1" applyBorder="1" applyAlignment="1">
      <alignment horizontal="center" vertical="center"/>
    </xf>
    <xf numFmtId="169" fontId="26" fillId="4" borderId="3" xfId="3" applyNumberFormat="1" applyFont="1" applyFill="1" applyBorder="1" applyAlignment="1">
      <alignment horizontal="center" vertical="center"/>
    </xf>
    <xf numFmtId="169" fontId="26" fillId="4" borderId="4" xfId="3" applyNumberFormat="1"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3" fillId="0" borderId="0" xfId="3" applyFont="1" applyAlignment="1">
      <alignment horizontal="right" vertical="center"/>
    </xf>
    <xf numFmtId="1" fontId="31" fillId="0" borderId="5" xfId="3" applyNumberFormat="1" applyFont="1" applyBorder="1" applyAlignment="1">
      <alignment horizontal="center" vertical="center"/>
    </xf>
    <xf numFmtId="0" fontId="30" fillId="2" borderId="5" xfId="3" applyFont="1" applyFill="1" applyBorder="1" applyAlignment="1">
      <alignment horizontal="center" vertical="center"/>
    </xf>
    <xf numFmtId="0" fontId="20" fillId="2" borderId="13" xfId="3" applyFont="1" applyFill="1" applyBorder="1" applyAlignment="1">
      <alignment horizontal="center" vertical="center"/>
    </xf>
    <xf numFmtId="0" fontId="70" fillId="2" borderId="5" xfId="0" applyFont="1" applyFill="1" applyBorder="1" applyAlignment="1">
      <alignment horizontal="center" vertical="center" wrapText="1"/>
    </xf>
    <xf numFmtId="1" fontId="28" fillId="4" borderId="5" xfId="3" applyNumberFormat="1" applyFont="1" applyFill="1" applyBorder="1" applyAlignment="1">
      <alignment horizontal="center" vertical="center"/>
    </xf>
    <xf numFmtId="0" fontId="47" fillId="0" borderId="13" xfId="3" applyFont="1" applyBorder="1" applyAlignment="1">
      <alignment horizontal="center" vertical="center"/>
    </xf>
    <xf numFmtId="0" fontId="23" fillId="0" borderId="0" xfId="0" applyFont="1" applyAlignment="1">
      <alignment horizontal="right" vertical="center"/>
    </xf>
    <xf numFmtId="0" fontId="23" fillId="0" borderId="6" xfId="0" applyFont="1" applyBorder="1" applyAlignment="1">
      <alignment horizontal="right" vertical="center"/>
    </xf>
    <xf numFmtId="0" fontId="42" fillId="2" borderId="2" xfId="3" applyFont="1" applyFill="1" applyBorder="1" applyAlignment="1">
      <alignment horizontal="center" vertical="center" wrapText="1"/>
    </xf>
    <xf numFmtId="0" fontId="42" fillId="2" borderId="4" xfId="3"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20" fillId="2" borderId="5" xfId="3" applyFont="1" applyFill="1" applyBorder="1" applyAlignment="1">
      <alignment horizontal="center" vertical="center" wrapText="1"/>
    </xf>
    <xf numFmtId="0" fontId="21" fillId="0" borderId="0" xfId="3" applyFont="1" applyAlignment="1">
      <alignment horizontal="center"/>
    </xf>
    <xf numFmtId="0" fontId="21" fillId="2" borderId="13" xfId="0" applyFont="1" applyFill="1" applyBorder="1" applyAlignment="1">
      <alignment horizontal="center" vertical="center"/>
    </xf>
    <xf numFmtId="0" fontId="21" fillId="2" borderId="15" xfId="0" applyFont="1" applyFill="1" applyBorder="1" applyAlignment="1">
      <alignment horizontal="center" vertical="center"/>
    </xf>
    <xf numFmtId="2" fontId="17" fillId="0" borderId="2" xfId="3" applyNumberFormat="1" applyFont="1" applyBorder="1" applyAlignment="1">
      <alignment horizontal="center" vertical="center"/>
    </xf>
    <xf numFmtId="2" fontId="17" fillId="0" borderId="3" xfId="3" applyNumberFormat="1" applyFont="1" applyBorder="1" applyAlignment="1">
      <alignment horizontal="center" vertical="center"/>
    </xf>
    <xf numFmtId="2" fontId="17" fillId="0" borderId="4" xfId="3" applyNumberFormat="1" applyFont="1" applyBorder="1" applyAlignment="1">
      <alignment horizontal="center" vertical="center"/>
    </xf>
    <xf numFmtId="0" fontId="54" fillId="0" borderId="0" xfId="3" applyFont="1" applyAlignment="1">
      <alignment horizontal="left" vertical="top"/>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69" fillId="0" borderId="4" xfId="0" applyFont="1" applyBorder="1" applyAlignment="1">
      <alignment horizontal="center" vertical="center"/>
    </xf>
    <xf numFmtId="0" fontId="23" fillId="9" borderId="1" xfId="0" applyFont="1" applyFill="1" applyBorder="1" applyAlignment="1">
      <alignment horizontal="left"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0" xfId="0" applyFont="1" applyFill="1" applyBorder="1" applyAlignment="1">
      <alignment horizontal="center" vertical="center"/>
    </xf>
    <xf numFmtId="0" fontId="14" fillId="0" borderId="0" xfId="0" applyFont="1" applyAlignment="1">
      <alignment horizontal="left" vertical="top"/>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2" xfId="0" applyFont="1" applyFill="1" applyBorder="1" applyAlignment="1">
      <alignment horizontal="center" vertical="center"/>
    </xf>
    <xf numFmtId="1" fontId="8" fillId="0" borderId="7" xfId="0" applyNumberFormat="1" applyFont="1" applyBorder="1" applyAlignment="1">
      <alignment horizontal="left" vertical="center"/>
    </xf>
    <xf numFmtId="1" fontId="8" fillId="0" borderId="0" xfId="0" applyNumberFormat="1" applyFont="1" applyAlignment="1">
      <alignment horizontal="left" vertical="center"/>
    </xf>
    <xf numFmtId="164" fontId="8" fillId="0" borderId="7" xfId="0" applyNumberFormat="1" applyFont="1" applyBorder="1" applyAlignment="1">
      <alignment horizontal="left" vertical="center"/>
    </xf>
    <xf numFmtId="164" fontId="8" fillId="0" borderId="0" xfId="0" applyNumberFormat="1" applyFont="1" applyAlignment="1">
      <alignment horizontal="left" vertical="center"/>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9" fillId="0" borderId="0" xfId="0" applyFont="1" applyAlignment="1">
      <alignment horizontal="right" vertical="center"/>
    </xf>
    <xf numFmtId="1" fontId="8" fillId="0" borderId="11" xfId="0" applyNumberFormat="1" applyFont="1" applyBorder="1" applyAlignment="1">
      <alignment horizontal="center" vertical="center"/>
    </xf>
    <xf numFmtId="1" fontId="8" fillId="0" borderId="12"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1" fillId="0" borderId="2" xfId="0" applyFont="1" applyBorder="1" applyAlignment="1">
      <alignment horizontal="left" vertical="center" wrapText="1"/>
    </xf>
    <xf numFmtId="0" fontId="71" fillId="0" borderId="3" xfId="0" applyFont="1" applyBorder="1" applyAlignment="1">
      <alignment horizontal="left" vertical="center" wrapText="1"/>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50" fillId="0" borderId="5" xfId="0" applyFont="1" applyBorder="1" applyAlignment="1">
      <alignment horizontal="center" vertical="center" wrapText="1"/>
    </xf>
    <xf numFmtId="0" fontId="50" fillId="0" borderId="5" xfId="0" applyFont="1" applyBorder="1" applyAlignment="1">
      <alignment horizontal="center"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49" fontId="10" fillId="0" borderId="2" xfId="0" applyNumberFormat="1" applyFont="1" applyBorder="1" applyAlignment="1">
      <alignment horizontal="left" vertical="center"/>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10" fillId="0" borderId="0" xfId="0" applyFont="1" applyAlignment="1">
      <alignment horizontal="center" vertical="center" wrapText="1"/>
    </xf>
    <xf numFmtId="1" fontId="17" fillId="4" borderId="5" xfId="0" applyNumberFormat="1" applyFont="1" applyFill="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14" fillId="0" borderId="0" xfId="0" applyFont="1" applyAlignment="1">
      <alignment horizontal="center"/>
    </xf>
    <xf numFmtId="0" fontId="21" fillId="0" borderId="13" xfId="0" applyFont="1" applyBorder="1" applyAlignment="1">
      <alignment horizontal="left" vertical="top"/>
    </xf>
    <xf numFmtId="0" fontId="21" fillId="0" borderId="15" xfId="0" applyFont="1" applyBorder="1" applyAlignment="1">
      <alignment horizontal="left" vertical="top"/>
    </xf>
    <xf numFmtId="0" fontId="21" fillId="0" borderId="14" xfId="0" applyFont="1" applyBorder="1" applyAlignment="1">
      <alignment horizontal="left" vertical="top"/>
    </xf>
    <xf numFmtId="1" fontId="17" fillId="0" borderId="13"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7" fillId="0" borderId="15" xfId="0" applyNumberFormat="1" applyFont="1" applyBorder="1" applyAlignment="1">
      <alignment horizontal="center" vertical="center"/>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1" fontId="17" fillId="4" borderId="13" xfId="0" applyNumberFormat="1" applyFont="1" applyFill="1" applyBorder="1" applyAlignment="1">
      <alignment horizontal="center" vertical="center" wrapText="1"/>
    </xf>
    <xf numFmtId="1" fontId="17" fillId="4" borderId="14" xfId="0" applyNumberFormat="1" applyFont="1" applyFill="1" applyBorder="1" applyAlignment="1">
      <alignment horizontal="center" vertical="center" wrapText="1"/>
    </xf>
    <xf numFmtId="1" fontId="17" fillId="4" borderId="15" xfId="0" applyNumberFormat="1" applyFont="1" applyFill="1" applyBorder="1" applyAlignment="1">
      <alignment horizontal="center" vertical="center" wrapText="1"/>
    </xf>
    <xf numFmtId="0" fontId="21" fillId="0" borderId="0" xfId="0" applyFont="1" applyAlignment="1">
      <alignment horizontal="right" vertical="center"/>
    </xf>
    <xf numFmtId="0" fontId="73" fillId="0" borderId="3" xfId="0" applyFont="1" applyBorder="1" applyAlignment="1">
      <alignment horizontal="left" vertical="center" wrapText="1"/>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14" fillId="0" borderId="1" xfId="0" applyFont="1" applyBorder="1" applyAlignment="1">
      <alignment horizontal="right"/>
    </xf>
    <xf numFmtId="0" fontId="14" fillId="6" borderId="2" xfId="0" applyFont="1" applyFill="1" applyBorder="1" applyAlignment="1">
      <alignment horizontal="center"/>
    </xf>
    <xf numFmtId="0" fontId="14" fillId="6" borderId="3" xfId="0" applyFont="1" applyFill="1" applyBorder="1" applyAlignment="1">
      <alignment horizontal="center"/>
    </xf>
    <xf numFmtId="0" fontId="14" fillId="6" borderId="4" xfId="0" applyFont="1" applyFill="1" applyBorder="1" applyAlignment="1">
      <alignment horizontal="center"/>
    </xf>
    <xf numFmtId="0" fontId="20" fillId="0" borderId="5" xfId="0" applyFont="1" applyBorder="1" applyAlignment="1">
      <alignment horizontal="right" vertical="center"/>
    </xf>
    <xf numFmtId="0" fontId="75" fillId="0" borderId="0" xfId="0" applyFont="1" applyAlignment="1">
      <alignment horizontal="left" vertical="top" wrapText="1"/>
    </xf>
    <xf numFmtId="0" fontId="38" fillId="0" borderId="0" xfId="0" applyFont="1" applyAlignment="1">
      <alignment horizontal="left" vertical="top" wrapText="1"/>
    </xf>
    <xf numFmtId="0" fontId="21" fillId="0" borderId="5" xfId="0" applyFont="1" applyBorder="1" applyAlignment="1">
      <alignment horizontal="left" vertical="top"/>
    </xf>
    <xf numFmtId="0" fontId="24" fillId="0" borderId="0" xfId="0" applyFont="1" applyAlignment="1">
      <alignment horizontal="left" vertical="top" wrapText="1"/>
    </xf>
    <xf numFmtId="0" fontId="24" fillId="0" borderId="2" xfId="0" applyFont="1" applyBorder="1" applyAlignment="1">
      <alignment horizontal="right" vertical="top"/>
    </xf>
    <xf numFmtId="0" fontId="24" fillId="0" borderId="3" xfId="0" applyFont="1" applyBorder="1" applyAlignment="1">
      <alignment horizontal="right" vertical="top"/>
    </xf>
    <xf numFmtId="0" fontId="24" fillId="0" borderId="4" xfId="0" applyFont="1" applyBorder="1" applyAlignment="1">
      <alignment horizontal="right" vertical="top"/>
    </xf>
    <xf numFmtId="0" fontId="24" fillId="0" borderId="2" xfId="0" applyFont="1" applyBorder="1" applyAlignment="1">
      <alignment horizontal="right" vertical="center" wrapText="1"/>
    </xf>
    <xf numFmtId="0" fontId="24" fillId="0" borderId="3" xfId="0" applyFont="1" applyBorder="1" applyAlignment="1">
      <alignment horizontal="right" vertical="center" wrapText="1"/>
    </xf>
    <xf numFmtId="168" fontId="18" fillId="2" borderId="2" xfId="0" applyNumberFormat="1" applyFont="1" applyFill="1" applyBorder="1" applyAlignment="1">
      <alignment horizontal="center" vertical="center"/>
    </xf>
    <xf numFmtId="168" fontId="18" fillId="2" borderId="4" xfId="0" applyNumberFormat="1" applyFont="1" applyFill="1" applyBorder="1" applyAlignment="1">
      <alignment horizontal="center" vertical="center"/>
    </xf>
    <xf numFmtId="0" fontId="17" fillId="4" borderId="3"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8" xfId="0" applyFont="1" applyBorder="1" applyAlignment="1">
      <alignment horizontal="left"/>
    </xf>
    <xf numFmtId="0" fontId="24" fillId="0" borderId="9" xfId="0" applyFont="1" applyBorder="1" applyAlignment="1">
      <alignment horizontal="left"/>
    </xf>
    <xf numFmtId="0" fontId="24" fillId="0" borderId="10" xfId="0" applyFont="1" applyBorder="1" applyAlignment="1">
      <alignment horizontal="left"/>
    </xf>
    <xf numFmtId="0" fontId="27" fillId="0" borderId="5" xfId="0" applyFont="1" applyBorder="1" applyAlignment="1">
      <alignment horizontal="center" vertical="center" wrapText="1"/>
    </xf>
    <xf numFmtId="0" fontId="24" fillId="0" borderId="13" xfId="0" applyFont="1" applyBorder="1" applyAlignment="1">
      <alignment horizontal="right" vertical="top"/>
    </xf>
    <xf numFmtId="0" fontId="24" fillId="0" borderId="14" xfId="0" applyFont="1" applyBorder="1" applyAlignment="1">
      <alignment horizontal="right" vertical="top"/>
    </xf>
    <xf numFmtId="0" fontId="24" fillId="0" borderId="15" xfId="0" applyFont="1" applyBorder="1" applyAlignment="1">
      <alignment horizontal="right" vertical="top"/>
    </xf>
    <xf numFmtId="0" fontId="39" fillId="2" borderId="2" xfId="0" applyFont="1" applyFill="1" applyBorder="1" applyAlignment="1">
      <alignment horizontal="left"/>
    </xf>
    <xf numFmtId="0" fontId="39" fillId="2" borderId="3" xfId="0" applyFont="1" applyFill="1" applyBorder="1" applyAlignment="1">
      <alignment horizontal="left"/>
    </xf>
    <xf numFmtId="0" fontId="39" fillId="2" borderId="4" xfId="0" applyFont="1" applyFill="1" applyBorder="1" applyAlignment="1">
      <alignment horizontal="left"/>
    </xf>
    <xf numFmtId="0" fontId="24" fillId="0" borderId="7" xfId="0" applyFont="1" applyBorder="1" applyAlignment="1">
      <alignment horizontal="right"/>
    </xf>
    <xf numFmtId="0" fontId="24" fillId="0" borderId="0" xfId="0" applyFont="1" applyAlignment="1">
      <alignment horizontal="right"/>
    </xf>
    <xf numFmtId="0" fontId="24" fillId="0" borderId="6" xfId="0" applyFont="1" applyBorder="1" applyAlignment="1">
      <alignment horizontal="right"/>
    </xf>
    <xf numFmtId="0" fontId="24" fillId="0" borderId="11" xfId="0" applyFont="1" applyBorder="1" applyAlignment="1">
      <alignment horizontal="right"/>
    </xf>
    <xf numFmtId="0" fontId="24" fillId="0" borderId="1" xfId="0" applyFont="1" applyBorder="1" applyAlignment="1">
      <alignment horizontal="right"/>
    </xf>
    <xf numFmtId="0" fontId="24" fillId="0" borderId="12" xfId="0" applyFont="1" applyBorder="1" applyAlignment="1">
      <alignment horizontal="right"/>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62" fillId="0" borderId="0" xfId="0" applyFont="1" applyAlignment="1">
      <alignment horizontal="center"/>
    </xf>
    <xf numFmtId="0" fontId="62" fillId="0" borderId="2" xfId="0" applyFont="1" applyBorder="1" applyAlignment="1">
      <alignment horizontal="center"/>
    </xf>
    <xf numFmtId="0" fontId="62" fillId="0" borderId="3" xfId="0" applyFont="1" applyBorder="1" applyAlignment="1">
      <alignment horizontal="center"/>
    </xf>
    <xf numFmtId="0" fontId="62" fillId="0" borderId="4" xfId="0" applyFont="1" applyBorder="1" applyAlignment="1">
      <alignment horizontal="center"/>
    </xf>
    <xf numFmtId="0" fontId="62" fillId="0" borderId="13" xfId="0" applyFont="1" applyBorder="1" applyAlignment="1">
      <alignment horizontal="center" vertical="center"/>
    </xf>
  </cellXfs>
  <cellStyles count="7">
    <cellStyle name="Hyperlink" xfId="6" builtinId="8"/>
    <cellStyle name="Normal" xfId="0" builtinId="0"/>
    <cellStyle name="Normal 2" xfId="4" xr:uid="{00000000-0005-0000-0000-000002000000}"/>
    <cellStyle name="Normal 3 5" xfId="5" xr:uid="{00000000-0005-0000-0000-000003000000}"/>
    <cellStyle name="Percent" xfId="1" builtinId="5"/>
    <cellStyle name="Standard_HWB Kurzverf. Formular" xfId="3" xr:uid="{00000000-0005-0000-0000-000005000000}"/>
    <cellStyle name="Standard_HWB Kurzverf. Formular (2)" xfId="2" xr:uid="{00000000-0005-0000-0000-000006000000}"/>
  </cellStyles>
  <dxfs count="22">
    <dxf>
      <font>
        <color rgb="FFFF0000"/>
      </font>
    </dxf>
    <dxf>
      <font>
        <color rgb="FF9C0006"/>
      </font>
    </dxf>
    <dxf>
      <font>
        <color rgb="FF9C0006"/>
      </font>
    </dxf>
    <dxf>
      <font>
        <color rgb="FF9C0006"/>
      </font>
    </dxf>
    <dxf>
      <font>
        <color rgb="FF9C0006"/>
      </font>
    </dxf>
    <dxf>
      <fill>
        <patternFill>
          <bgColor theme="0"/>
        </patternFill>
      </fill>
    </dxf>
    <dxf>
      <fill>
        <patternFill>
          <bgColor theme="0"/>
        </patternFill>
      </fill>
    </dxf>
    <dxf>
      <fill>
        <patternFill>
          <bgColor theme="0"/>
        </patternFill>
      </fill>
    </dxf>
    <dxf>
      <fill>
        <patternFill>
          <bgColor theme="0"/>
        </patternFill>
      </fill>
    </dxf>
    <dxf>
      <fill>
        <patternFill>
          <bgColor rgb="FF00FF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1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12895</xdr:colOff>
      <xdr:row>70</xdr:row>
      <xdr:rowOff>166742</xdr:rowOff>
    </xdr:from>
    <xdr:to>
      <xdr:col>5</xdr:col>
      <xdr:colOff>837617</xdr:colOff>
      <xdr:row>80</xdr:row>
      <xdr:rowOff>160020</xdr:rowOff>
    </xdr:to>
    <xdr:pic>
      <xdr:nvPicPr>
        <xdr:cNvPr id="2" name="Picture 1">
          <a:extLst>
            <a:ext uri="{FF2B5EF4-FFF2-40B4-BE49-F238E27FC236}">
              <a16:creationId xmlns:a16="http://schemas.microsoft.com/office/drawing/2014/main" id="{92B59A88-AC4B-E0CC-6C89-DA3FE6D58C00}"/>
            </a:ext>
          </a:extLst>
        </xdr:cNvPr>
        <xdr:cNvPicPr>
          <a:picLocks noChangeAspect="1"/>
        </xdr:cNvPicPr>
      </xdr:nvPicPr>
      <xdr:blipFill>
        <a:blip xmlns:r="http://schemas.openxmlformats.org/officeDocument/2006/relationships" r:embed="rId1"/>
        <a:stretch>
          <a:fillRect/>
        </a:stretch>
      </xdr:blipFill>
      <xdr:spPr>
        <a:xfrm>
          <a:off x="111955" y="14880962"/>
          <a:ext cx="4566142" cy="1745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73855</xdr:colOff>
      <xdr:row>70</xdr:row>
      <xdr:rowOff>133124</xdr:rowOff>
    </xdr:from>
    <xdr:to>
      <xdr:col>6</xdr:col>
      <xdr:colOff>266701</xdr:colOff>
      <xdr:row>81</xdr:row>
      <xdr:rowOff>152399</xdr:rowOff>
    </xdr:to>
    <xdr:pic>
      <xdr:nvPicPr>
        <xdr:cNvPr id="2" name="Picture 1">
          <a:extLst>
            <a:ext uri="{FF2B5EF4-FFF2-40B4-BE49-F238E27FC236}">
              <a16:creationId xmlns:a16="http://schemas.microsoft.com/office/drawing/2014/main" id="{72BCC7F3-D22F-49BA-AA17-09812D8E887E}"/>
            </a:ext>
          </a:extLst>
        </xdr:cNvPr>
        <xdr:cNvPicPr>
          <a:picLocks noChangeAspect="1"/>
        </xdr:cNvPicPr>
      </xdr:nvPicPr>
      <xdr:blipFill>
        <a:blip xmlns:r="http://schemas.openxmlformats.org/officeDocument/2006/relationships" r:embed="rId1"/>
        <a:stretch>
          <a:fillRect/>
        </a:stretch>
      </xdr:blipFill>
      <xdr:spPr>
        <a:xfrm>
          <a:off x="73855" y="14839724"/>
          <a:ext cx="5092506" cy="19471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ikumi.lv/ta/id/296651-siltumnicefekta-gazu-emisiju-aprekina-metodik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V60"/>
  <sheetViews>
    <sheetView showGridLines="0" tabSelected="1" workbookViewId="0">
      <selection activeCell="C2" sqref="C2"/>
    </sheetView>
  </sheetViews>
  <sheetFormatPr defaultColWidth="8.88671875" defaultRowHeight="13.8" x14ac:dyDescent="0.25"/>
  <cols>
    <col min="1" max="1" width="3" style="1" customWidth="1"/>
    <col min="2" max="2" width="5.44140625" style="1" customWidth="1"/>
    <col min="3" max="14" width="9.5546875" style="1" customWidth="1"/>
    <col min="15" max="15" width="13.88671875" style="1" bestFit="1" customWidth="1"/>
    <col min="16" max="16" width="8.88671875" style="1" hidden="1" customWidth="1"/>
    <col min="17" max="17" width="0" style="1" hidden="1" customWidth="1"/>
    <col min="18" max="18" width="8.88671875" style="1" hidden="1" customWidth="1"/>
    <col min="19" max="19" width="16" style="1" hidden="1" customWidth="1"/>
    <col min="20" max="22" width="8.88671875" style="1" hidden="1" customWidth="1"/>
    <col min="23" max="23" width="0" style="1" hidden="1" customWidth="1"/>
    <col min="24" max="16384" width="8.88671875" style="1"/>
  </cols>
  <sheetData>
    <row r="1" spans="1:16" x14ac:dyDescent="0.25">
      <c r="A1" s="282" t="s">
        <v>0</v>
      </c>
      <c r="B1" s="282"/>
      <c r="C1" s="95" t="s">
        <v>1</v>
      </c>
      <c r="D1" s="95"/>
      <c r="E1" s="95"/>
      <c r="F1" s="95"/>
      <c r="G1" s="95"/>
      <c r="H1" s="95"/>
      <c r="I1" s="95"/>
      <c r="J1" s="95"/>
    </row>
    <row r="2" spans="1:16" ht="9" customHeight="1" x14ac:dyDescent="0.25">
      <c r="A2" s="96"/>
      <c r="B2" s="96"/>
      <c r="C2" s="98"/>
      <c r="D2" s="96"/>
      <c r="E2" s="96"/>
      <c r="F2" s="96"/>
      <c r="G2" s="96"/>
      <c r="H2" s="96"/>
      <c r="I2" s="96"/>
      <c r="J2" s="96"/>
      <c r="K2" s="20"/>
      <c r="L2" s="20"/>
      <c r="M2" s="20"/>
      <c r="N2" s="20"/>
      <c r="O2" s="20"/>
    </row>
    <row r="3" spans="1:16" s="21" customFormat="1" ht="24.6" x14ac:dyDescent="0.3">
      <c r="A3" s="283" t="s">
        <v>2</v>
      </c>
      <c r="B3" s="283"/>
      <c r="C3" s="283"/>
      <c r="D3" s="283"/>
      <c r="E3" s="283"/>
      <c r="F3" s="283"/>
      <c r="G3" s="283"/>
      <c r="H3" s="283"/>
      <c r="I3" s="283"/>
      <c r="J3" s="283"/>
      <c r="K3" s="283"/>
      <c r="L3" s="283"/>
      <c r="M3" s="283"/>
      <c r="N3" s="283"/>
      <c r="O3" s="283"/>
    </row>
    <row r="4" spans="1:16" s="21" customFormat="1" ht="33.6" customHeight="1" x14ac:dyDescent="0.3">
      <c r="A4" s="290" t="s">
        <v>3</v>
      </c>
      <c r="B4" s="290"/>
      <c r="C4" s="290"/>
      <c r="D4" s="290"/>
      <c r="E4" s="290"/>
      <c r="F4" s="290"/>
      <c r="G4" s="290"/>
      <c r="H4" s="290"/>
      <c r="I4" s="290"/>
      <c r="J4" s="290"/>
      <c r="K4" s="290"/>
      <c r="L4" s="290"/>
      <c r="M4" s="290"/>
      <c r="N4" s="290"/>
      <c r="O4" s="290"/>
    </row>
    <row r="5" spans="1:16" s="22" customFormat="1" ht="5.4" customHeight="1" x14ac:dyDescent="0.25">
      <c r="B5" s="23"/>
      <c r="C5" s="23"/>
      <c r="D5" s="23"/>
      <c r="E5" s="23"/>
      <c r="F5" s="23"/>
      <c r="G5" s="23"/>
      <c r="H5" s="23"/>
      <c r="I5" s="23"/>
      <c r="J5" s="23"/>
      <c r="K5" s="23"/>
      <c r="L5" s="23"/>
      <c r="M5" s="23"/>
      <c r="N5" s="23"/>
      <c r="O5" s="23"/>
    </row>
    <row r="6" spans="1:16" ht="15.6" x14ac:dyDescent="0.25">
      <c r="B6" s="320" t="s">
        <v>4</v>
      </c>
      <c r="C6" s="320"/>
      <c r="D6" s="320"/>
      <c r="E6" s="320"/>
      <c r="F6" s="317"/>
      <c r="G6" s="318"/>
      <c r="H6" s="318"/>
      <c r="I6" s="318"/>
      <c r="J6" s="318"/>
      <c r="K6" s="319"/>
      <c r="M6" s="316" t="s">
        <v>5</v>
      </c>
      <c r="N6" s="316"/>
      <c r="O6" s="316"/>
    </row>
    <row r="7" spans="1:16" ht="15.6" x14ac:dyDescent="0.25">
      <c r="B7" s="320" t="s">
        <v>6</v>
      </c>
      <c r="C7" s="320"/>
      <c r="D7" s="320"/>
      <c r="E7" s="320"/>
      <c r="F7" s="321"/>
      <c r="G7" s="322"/>
      <c r="H7" s="322"/>
      <c r="I7" s="322"/>
      <c r="J7" s="322"/>
      <c r="K7" s="323"/>
      <c r="M7" s="325" t="s">
        <v>7</v>
      </c>
      <c r="N7" s="325"/>
      <c r="O7" s="325"/>
    </row>
    <row r="8" spans="1:16" s="24" customFormat="1" ht="27.6" customHeight="1" x14ac:dyDescent="0.25">
      <c r="B8" s="25" t="s">
        <v>8</v>
      </c>
      <c r="C8" s="289" t="s">
        <v>9</v>
      </c>
      <c r="D8" s="289"/>
      <c r="E8" s="289"/>
      <c r="F8" s="289"/>
      <c r="G8" s="289"/>
      <c r="H8" s="289"/>
      <c r="I8" s="289"/>
      <c r="J8" s="289"/>
      <c r="K8" s="289"/>
      <c r="L8" s="289"/>
      <c r="M8" s="289"/>
      <c r="N8" s="289"/>
      <c r="O8" s="26"/>
    </row>
    <row r="9" spans="1:16" s="21" customFormat="1" ht="15.6" x14ac:dyDescent="0.3">
      <c r="A9" s="285" t="s">
        <v>10</v>
      </c>
      <c r="B9" s="285"/>
      <c r="C9" s="27" t="s">
        <v>11</v>
      </c>
      <c r="D9" s="27" t="s">
        <v>12</v>
      </c>
      <c r="E9" s="27" t="s">
        <v>13</v>
      </c>
      <c r="F9" s="27" t="s">
        <v>14</v>
      </c>
      <c r="G9" s="27" t="s">
        <v>15</v>
      </c>
      <c r="H9" s="27" t="s">
        <v>16</v>
      </c>
      <c r="I9" s="27" t="s">
        <v>17</v>
      </c>
      <c r="J9" s="27" t="s">
        <v>18</v>
      </c>
      <c r="K9" s="27" t="s">
        <v>19</v>
      </c>
      <c r="L9" s="27" t="s">
        <v>20</v>
      </c>
      <c r="M9" s="27" t="s">
        <v>21</v>
      </c>
      <c r="N9" s="27" t="s">
        <v>22</v>
      </c>
      <c r="O9" s="27" t="s">
        <v>23</v>
      </c>
    </row>
    <row r="10" spans="1:16" s="21" customFormat="1" ht="15.75" customHeight="1" x14ac:dyDescent="0.3">
      <c r="A10" s="284"/>
      <c r="B10" s="284"/>
      <c r="C10" s="28"/>
      <c r="D10" s="28"/>
      <c r="E10" s="28"/>
      <c r="F10" s="28"/>
      <c r="G10" s="28"/>
      <c r="H10" s="28"/>
      <c r="I10" s="28"/>
      <c r="J10" s="28"/>
      <c r="K10" s="28"/>
      <c r="L10" s="28"/>
      <c r="M10" s="28"/>
      <c r="N10" s="28"/>
      <c r="O10" s="29" t="str">
        <f>IF(P10=1,SUM(C10:N10),"")</f>
        <v/>
      </c>
      <c r="P10" s="21" t="str">
        <f>IF(SUM(C10:N10)&gt;0,1,"")</f>
        <v/>
      </c>
    </row>
    <row r="11" spans="1:16" s="21" customFormat="1" ht="15.75" customHeight="1" x14ac:dyDescent="0.3">
      <c r="A11" s="284"/>
      <c r="B11" s="284"/>
      <c r="C11" s="28"/>
      <c r="D11" s="28"/>
      <c r="E11" s="28"/>
      <c r="F11" s="28"/>
      <c r="G11" s="28"/>
      <c r="H11" s="28"/>
      <c r="I11" s="28"/>
      <c r="J11" s="28"/>
      <c r="K11" s="28"/>
      <c r="L11" s="28"/>
      <c r="M11" s="28"/>
      <c r="N11" s="28"/>
      <c r="O11" s="29" t="str">
        <f t="shared" ref="O11:O14" si="0">IF(P11=1,SUM(C11:N11),"")</f>
        <v/>
      </c>
      <c r="P11" s="21" t="str">
        <f t="shared" ref="P11:P14" si="1">IF(SUM(C11:N11)&gt;0,1,"")</f>
        <v/>
      </c>
    </row>
    <row r="12" spans="1:16" s="21" customFormat="1" ht="15.75" customHeight="1" x14ac:dyDescent="0.3">
      <c r="A12" s="284"/>
      <c r="B12" s="284"/>
      <c r="C12" s="28"/>
      <c r="D12" s="28"/>
      <c r="E12" s="28"/>
      <c r="F12" s="28"/>
      <c r="G12" s="28"/>
      <c r="H12" s="28"/>
      <c r="I12" s="28"/>
      <c r="J12" s="28"/>
      <c r="K12" s="28"/>
      <c r="L12" s="28"/>
      <c r="M12" s="28"/>
      <c r="N12" s="28"/>
      <c r="O12" s="29" t="str">
        <f t="shared" si="0"/>
        <v/>
      </c>
      <c r="P12" s="21" t="str">
        <f t="shared" si="1"/>
        <v/>
      </c>
    </row>
    <row r="13" spans="1:16" s="21" customFormat="1" ht="15.6" x14ac:dyDescent="0.3">
      <c r="A13" s="284"/>
      <c r="B13" s="284"/>
      <c r="C13" s="28"/>
      <c r="D13" s="28"/>
      <c r="E13" s="28"/>
      <c r="F13" s="28"/>
      <c r="G13" s="28"/>
      <c r="H13" s="28"/>
      <c r="I13" s="28"/>
      <c r="J13" s="28"/>
      <c r="K13" s="28"/>
      <c r="L13" s="28"/>
      <c r="M13" s="28"/>
      <c r="N13" s="28"/>
      <c r="O13" s="29" t="str">
        <f t="shared" si="0"/>
        <v/>
      </c>
      <c r="P13" s="21" t="str">
        <f t="shared" si="1"/>
        <v/>
      </c>
    </row>
    <row r="14" spans="1:16" s="21" customFormat="1" ht="15.6" x14ac:dyDescent="0.3">
      <c r="A14" s="284"/>
      <c r="B14" s="284"/>
      <c r="C14" s="28"/>
      <c r="D14" s="28"/>
      <c r="E14" s="28"/>
      <c r="F14" s="28"/>
      <c r="G14" s="28"/>
      <c r="H14" s="28"/>
      <c r="I14" s="28"/>
      <c r="J14" s="28"/>
      <c r="K14" s="28"/>
      <c r="L14" s="28"/>
      <c r="M14" s="28"/>
      <c r="N14" s="28"/>
      <c r="O14" s="29" t="str">
        <f t="shared" si="0"/>
        <v/>
      </c>
      <c r="P14" s="21" t="str">
        <f t="shared" si="1"/>
        <v/>
      </c>
    </row>
    <row r="15" spans="1:16" s="21" customFormat="1" ht="15.6" customHeight="1" x14ac:dyDescent="0.3">
      <c r="A15" s="288" t="s">
        <v>24</v>
      </c>
      <c r="B15" s="288"/>
      <c r="C15" s="288"/>
      <c r="D15" s="288"/>
      <c r="E15" s="288"/>
      <c r="F15" s="288"/>
      <c r="G15" s="288"/>
      <c r="H15" s="288"/>
      <c r="I15" s="288"/>
      <c r="J15" s="288"/>
      <c r="K15" s="288"/>
      <c r="L15" s="288"/>
      <c r="M15" s="288"/>
      <c r="N15" s="288"/>
      <c r="O15" s="30" t="str">
        <f>IFERROR(AVERAGE(O10:O14),"")</f>
        <v/>
      </c>
    </row>
    <row r="16" spans="1:16" s="21" customFormat="1" ht="15.6" customHeight="1" x14ac:dyDescent="0.3">
      <c r="A16" s="305" t="s">
        <v>25</v>
      </c>
      <c r="B16" s="305"/>
      <c r="C16" s="305"/>
      <c r="D16" s="313" t="s">
        <v>26</v>
      </c>
      <c r="E16" s="313"/>
      <c r="F16" s="313"/>
      <c r="G16" s="313"/>
      <c r="H16" s="313"/>
      <c r="I16" s="313"/>
      <c r="J16" s="313"/>
      <c r="K16" s="313"/>
      <c r="L16" s="313"/>
      <c r="M16" s="313"/>
      <c r="N16" s="313"/>
      <c r="O16" s="84"/>
    </row>
    <row r="17" spans="1:20" s="24" customFormat="1" ht="19.2" customHeight="1" x14ac:dyDescent="0.25">
      <c r="B17" s="31" t="s">
        <v>27</v>
      </c>
      <c r="C17" s="324" t="s">
        <v>28</v>
      </c>
      <c r="D17" s="324"/>
      <c r="E17" s="324"/>
      <c r="F17" s="324"/>
      <c r="G17" s="324"/>
      <c r="H17" s="324"/>
      <c r="I17" s="324"/>
      <c r="J17" s="324"/>
      <c r="K17" s="324"/>
      <c r="L17" s="324"/>
      <c r="M17" s="32"/>
      <c r="N17" s="32"/>
      <c r="O17" s="33"/>
    </row>
    <row r="18" spans="1:20" s="21" customFormat="1" ht="15.6" customHeight="1" x14ac:dyDescent="0.3">
      <c r="A18" s="1"/>
      <c r="B18" s="286" t="s">
        <v>29</v>
      </c>
      <c r="C18" s="286"/>
      <c r="D18" s="294"/>
      <c r="E18" s="295"/>
      <c r="F18" s="296"/>
      <c r="G18" s="287" t="s">
        <v>30</v>
      </c>
      <c r="H18" s="287"/>
      <c r="I18" s="287"/>
      <c r="J18" s="103" t="str">
        <f>IF(D18="","",VLOOKUP(D18,S34:T48,2,FALSE))</f>
        <v/>
      </c>
      <c r="K18" s="293" t="str">
        <f>IF(D18="","",VLOOKUP(D18,S34:U51,3,FALSE))</f>
        <v/>
      </c>
      <c r="L18" s="293"/>
      <c r="M18" s="312"/>
      <c r="N18" s="312"/>
      <c r="O18" s="312"/>
    </row>
    <row r="19" spans="1:20" s="21" customFormat="1" ht="15.6" x14ac:dyDescent="0.3">
      <c r="A19" s="1"/>
      <c r="B19" s="292" t="s">
        <v>31</v>
      </c>
      <c r="C19" s="292"/>
      <c r="D19" s="292"/>
      <c r="E19" s="292"/>
      <c r="F19" s="292"/>
      <c r="G19" s="292"/>
      <c r="H19" s="292"/>
      <c r="I19" s="292"/>
      <c r="J19" s="292"/>
      <c r="K19" s="99"/>
      <c r="L19" s="34"/>
      <c r="M19" s="35"/>
      <c r="N19" s="35"/>
      <c r="O19" s="36"/>
    </row>
    <row r="20" spans="1:20" s="21" customFormat="1" ht="15.6" x14ac:dyDescent="0.3">
      <c r="A20" s="1"/>
      <c r="B20" s="292" t="s">
        <v>32</v>
      </c>
      <c r="C20" s="292"/>
      <c r="D20" s="292"/>
      <c r="E20" s="100"/>
      <c r="F20" s="293" t="s">
        <v>33</v>
      </c>
      <c r="G20" s="293"/>
      <c r="H20" s="293"/>
      <c r="I20" s="293"/>
      <c r="J20" s="293"/>
      <c r="K20" s="293"/>
      <c r="L20" s="293"/>
      <c r="M20" s="35"/>
      <c r="N20" s="35"/>
      <c r="O20" s="36"/>
    </row>
    <row r="21" spans="1:20" s="21" customFormat="1" ht="15" customHeight="1" x14ac:dyDescent="0.3">
      <c r="A21" s="1"/>
      <c r="B21" s="292" t="s">
        <v>34</v>
      </c>
      <c r="C21" s="292"/>
      <c r="D21" s="292"/>
      <c r="E21" s="292"/>
      <c r="F21" s="311"/>
      <c r="G21" s="311"/>
      <c r="H21" s="311"/>
      <c r="I21" s="314" t="s">
        <v>35</v>
      </c>
      <c r="J21" s="315"/>
      <c r="K21" s="315"/>
      <c r="L21" s="315"/>
      <c r="M21" s="35"/>
      <c r="N21" s="35"/>
      <c r="O21" s="36"/>
    </row>
    <row r="22" spans="1:20" s="21" customFormat="1" ht="15.6" x14ac:dyDescent="0.3">
      <c r="A22" s="1"/>
      <c r="B22" s="37"/>
      <c r="C22" s="291"/>
      <c r="D22" s="291"/>
      <c r="E22" s="291"/>
      <c r="F22" s="291"/>
      <c r="G22" s="291"/>
      <c r="H22" s="291"/>
      <c r="I22" s="291"/>
      <c r="J22" s="291"/>
      <c r="K22" s="291"/>
      <c r="L22" s="291"/>
      <c r="M22" s="291"/>
      <c r="N22" s="291"/>
      <c r="O22" s="291"/>
    </row>
    <row r="23" spans="1:20" s="21" customFormat="1" ht="15.6" x14ac:dyDescent="0.3">
      <c r="A23" s="285" t="s">
        <v>10</v>
      </c>
      <c r="B23" s="285"/>
      <c r="C23" s="27" t="s">
        <v>11</v>
      </c>
      <c r="D23" s="27" t="s">
        <v>12</v>
      </c>
      <c r="E23" s="27" t="s">
        <v>13</v>
      </c>
      <c r="F23" s="27" t="s">
        <v>14</v>
      </c>
      <c r="G23" s="27" t="s">
        <v>15</v>
      </c>
      <c r="H23" s="27" t="s">
        <v>16</v>
      </c>
      <c r="I23" s="27" t="s">
        <v>17</v>
      </c>
      <c r="J23" s="27" t="s">
        <v>18</v>
      </c>
      <c r="K23" s="27" t="s">
        <v>19</v>
      </c>
      <c r="L23" s="27" t="s">
        <v>20</v>
      </c>
      <c r="M23" s="27" t="s">
        <v>21</v>
      </c>
      <c r="N23" s="27" t="s">
        <v>22</v>
      </c>
      <c r="O23" s="27" t="s">
        <v>23</v>
      </c>
    </row>
    <row r="24" spans="1:20" s="21" customFormat="1" ht="15.75" customHeight="1" x14ac:dyDescent="0.3">
      <c r="A24" s="284"/>
      <c r="B24" s="284"/>
      <c r="C24" s="83"/>
      <c r="D24" s="83"/>
      <c r="E24" s="83"/>
      <c r="F24" s="83"/>
      <c r="G24" s="83"/>
      <c r="H24" s="83"/>
      <c r="I24" s="83"/>
      <c r="J24" s="83"/>
      <c r="K24" s="83"/>
      <c r="L24" s="83"/>
      <c r="M24" s="83"/>
      <c r="N24" s="83"/>
      <c r="O24" s="38" t="str">
        <f>IF(P24=1,SUM(C24:N24),"")</f>
        <v/>
      </c>
      <c r="P24" s="21" t="str">
        <f>IF(SUM(C24:N24)&gt;0,1,"")</f>
        <v/>
      </c>
    </row>
    <row r="25" spans="1:20" s="21" customFormat="1" ht="15.75" customHeight="1" x14ac:dyDescent="0.3">
      <c r="A25" s="284"/>
      <c r="B25" s="284"/>
      <c r="C25" s="83"/>
      <c r="D25" s="83"/>
      <c r="E25" s="83"/>
      <c r="F25" s="83"/>
      <c r="G25" s="83"/>
      <c r="H25" s="83"/>
      <c r="I25" s="83"/>
      <c r="J25" s="83"/>
      <c r="K25" s="83"/>
      <c r="L25" s="83"/>
      <c r="M25" s="83"/>
      <c r="N25" s="83"/>
      <c r="O25" s="38" t="str">
        <f t="shared" ref="O25:O28" si="2">IF(P25=1,SUM(C25:N25),"")</f>
        <v/>
      </c>
      <c r="P25" s="21" t="str">
        <f t="shared" ref="P25:P28" si="3">IF(SUM(C25:N25)&gt;0,1,"")</f>
        <v/>
      </c>
    </row>
    <row r="26" spans="1:20" s="21" customFormat="1" ht="15.75" customHeight="1" x14ac:dyDescent="0.3">
      <c r="A26" s="284"/>
      <c r="B26" s="284"/>
      <c r="C26" s="83"/>
      <c r="D26" s="83"/>
      <c r="E26" s="83"/>
      <c r="F26" s="83"/>
      <c r="G26" s="83"/>
      <c r="H26" s="83"/>
      <c r="I26" s="83"/>
      <c r="J26" s="83"/>
      <c r="K26" s="83"/>
      <c r="L26" s="83"/>
      <c r="M26" s="83"/>
      <c r="N26" s="83"/>
      <c r="O26" s="38" t="str">
        <f t="shared" si="2"/>
        <v/>
      </c>
      <c r="P26" s="21" t="str">
        <f t="shared" si="3"/>
        <v/>
      </c>
    </row>
    <row r="27" spans="1:20" s="21" customFormat="1" ht="15.75" customHeight="1" x14ac:dyDescent="0.3">
      <c r="A27" s="284"/>
      <c r="B27" s="284"/>
      <c r="C27" s="83"/>
      <c r="D27" s="83"/>
      <c r="E27" s="83"/>
      <c r="F27" s="83"/>
      <c r="G27" s="83"/>
      <c r="H27" s="83"/>
      <c r="I27" s="83"/>
      <c r="J27" s="83"/>
      <c r="K27" s="83"/>
      <c r="L27" s="83"/>
      <c r="M27" s="83"/>
      <c r="N27" s="83"/>
      <c r="O27" s="38" t="str">
        <f t="shared" si="2"/>
        <v/>
      </c>
      <c r="P27" s="21" t="str">
        <f t="shared" si="3"/>
        <v/>
      </c>
    </row>
    <row r="28" spans="1:20" s="21" customFormat="1" ht="15.75" customHeight="1" x14ac:dyDescent="0.3">
      <c r="A28" s="284"/>
      <c r="B28" s="284"/>
      <c r="C28" s="83"/>
      <c r="D28" s="83"/>
      <c r="E28" s="83"/>
      <c r="F28" s="83"/>
      <c r="G28" s="83"/>
      <c r="H28" s="83"/>
      <c r="I28" s="83"/>
      <c r="J28" s="83"/>
      <c r="K28" s="83"/>
      <c r="L28" s="83"/>
      <c r="M28" s="83"/>
      <c r="N28" s="83"/>
      <c r="O28" s="38" t="str">
        <f t="shared" si="2"/>
        <v/>
      </c>
      <c r="P28" s="21" t="str">
        <f t="shared" si="3"/>
        <v/>
      </c>
    </row>
    <row r="29" spans="1:20" s="21" customFormat="1" ht="15.75" customHeight="1" x14ac:dyDescent="0.3">
      <c r="A29" s="39"/>
      <c r="B29" s="306" t="s">
        <v>36</v>
      </c>
      <c r="C29" s="306"/>
      <c r="D29" s="306"/>
      <c r="E29" s="306"/>
      <c r="F29" s="306"/>
      <c r="G29" s="306"/>
      <c r="H29" s="306"/>
      <c r="I29" s="306"/>
      <c r="J29" s="306"/>
      <c r="K29" s="306"/>
      <c r="L29" s="306"/>
      <c r="M29" s="306"/>
      <c r="N29" s="39" t="s">
        <v>24</v>
      </c>
      <c r="O29" s="40" t="str">
        <f>IFERROR(AVERAGE(O24:O28),"")</f>
        <v/>
      </c>
    </row>
    <row r="30" spans="1:20" s="21" customFormat="1" ht="28.95" customHeight="1" x14ac:dyDescent="0.3">
      <c r="A30" s="41"/>
      <c r="B30" s="309" t="s">
        <v>37</v>
      </c>
      <c r="C30" s="309"/>
      <c r="D30" s="309"/>
      <c r="E30" s="309"/>
      <c r="F30" s="309"/>
      <c r="G30" s="309"/>
      <c r="H30" s="309"/>
      <c r="I30" s="309"/>
      <c r="J30" s="309"/>
      <c r="K30" s="309"/>
      <c r="L30" s="309"/>
      <c r="M30" s="309"/>
      <c r="N30" s="309"/>
      <c r="O30" s="309"/>
    </row>
    <row r="31" spans="1:20" s="22" customFormat="1" ht="15" x14ac:dyDescent="0.3">
      <c r="B31" s="304" t="s">
        <v>38</v>
      </c>
      <c r="C31" s="304"/>
      <c r="D31" s="304"/>
      <c r="E31" s="304"/>
      <c r="F31" s="304"/>
      <c r="G31" s="101" t="str">
        <f>IF(F21="","",F21)</f>
        <v/>
      </c>
      <c r="H31" s="42" t="s">
        <v>39</v>
      </c>
      <c r="I31" s="102" t="str">
        <f>IF(F21="","",VLOOKUP(D18,S34:V51,4,FALSE))</f>
        <v/>
      </c>
      <c r="J31" s="43"/>
      <c r="K31" s="307" t="s">
        <v>40</v>
      </c>
      <c r="L31" s="308"/>
      <c r="M31" s="308"/>
      <c r="N31" s="308"/>
      <c r="O31" s="308"/>
      <c r="T31" s="104" t="s">
        <v>41</v>
      </c>
    </row>
    <row r="32" spans="1:20" s="24" customFormat="1" ht="17.399999999999999" customHeight="1" x14ac:dyDescent="0.25">
      <c r="A32" s="44"/>
      <c r="B32" s="45" t="s">
        <v>42</v>
      </c>
      <c r="C32" s="289" t="s">
        <v>43</v>
      </c>
      <c r="D32" s="289"/>
      <c r="E32" s="289"/>
      <c r="F32" s="289"/>
      <c r="G32" s="289"/>
      <c r="H32" s="289"/>
      <c r="I32" s="289"/>
      <c r="J32" s="46"/>
      <c r="K32" s="46"/>
      <c r="L32" s="46"/>
      <c r="M32" s="46"/>
      <c r="N32" s="46"/>
      <c r="O32" s="46"/>
    </row>
    <row r="33" spans="1:22" s="21" customFormat="1" ht="15.6" x14ac:dyDescent="0.3">
      <c r="A33" s="285" t="s">
        <v>10</v>
      </c>
      <c r="B33" s="285"/>
      <c r="C33" s="27" t="s">
        <v>11</v>
      </c>
      <c r="D33" s="27" t="s">
        <v>12</v>
      </c>
      <c r="E33" s="27" t="s">
        <v>13</v>
      </c>
      <c r="F33" s="27" t="s">
        <v>14</v>
      </c>
      <c r="G33" s="27" t="s">
        <v>15</v>
      </c>
      <c r="H33" s="27" t="s">
        <v>16</v>
      </c>
      <c r="I33" s="27" t="s">
        <v>17</v>
      </c>
      <c r="J33" s="27" t="s">
        <v>18</v>
      </c>
      <c r="K33" s="27" t="s">
        <v>19</v>
      </c>
      <c r="L33" s="27" t="s">
        <v>20</v>
      </c>
      <c r="M33" s="27" t="s">
        <v>21</v>
      </c>
      <c r="N33" s="27" t="s">
        <v>22</v>
      </c>
      <c r="O33" s="27" t="s">
        <v>23</v>
      </c>
      <c r="S33" s="1" t="s">
        <v>44</v>
      </c>
      <c r="T33" s="1" t="s">
        <v>45</v>
      </c>
      <c r="U33" s="1"/>
    </row>
    <row r="34" spans="1:22" s="21" customFormat="1" ht="15.75" customHeight="1" x14ac:dyDescent="0.3">
      <c r="A34" s="297" t="str">
        <f>IF(A24="","",A24)</f>
        <v/>
      </c>
      <c r="B34" s="297"/>
      <c r="C34" s="47" t="str">
        <f>IF(C24="","",IF(J31="",C24*$J$18*$K$19/1000*(100%-$E$20),C24*$J$18*$K$19*$J$31/1000*(100%-$E$20)))</f>
        <v/>
      </c>
      <c r="D34" s="47" t="str">
        <f>IF(D24="","",D24*$J$18*$K$19*$J$31/1000*(100%-$E$20))</f>
        <v/>
      </c>
      <c r="E34" s="47" t="str">
        <f t="shared" ref="E34:N34" si="4">IF(E24="","",E24*$J$18*$K$19*$J$31/1000*(100%-$E$20))</f>
        <v/>
      </c>
      <c r="F34" s="47" t="str">
        <f t="shared" si="4"/>
        <v/>
      </c>
      <c r="G34" s="47" t="str">
        <f t="shared" si="4"/>
        <v/>
      </c>
      <c r="H34" s="47" t="str">
        <f t="shared" si="4"/>
        <v/>
      </c>
      <c r="I34" s="47" t="str">
        <f>IF(I24="","",I24*$J$18*$K$19*$J$31/1000*(100%-$E$20))</f>
        <v/>
      </c>
      <c r="J34" s="47" t="str">
        <f t="shared" si="4"/>
        <v/>
      </c>
      <c r="K34" s="47" t="str">
        <f t="shared" si="4"/>
        <v/>
      </c>
      <c r="L34" s="47" t="str">
        <f t="shared" si="4"/>
        <v/>
      </c>
      <c r="M34" s="47" t="str">
        <f t="shared" si="4"/>
        <v/>
      </c>
      <c r="N34" s="47" t="str">
        <f t="shared" si="4"/>
        <v/>
      </c>
      <c r="O34" s="29" t="str">
        <f>IF(P34=1,SUM(C34:N34),"")</f>
        <v/>
      </c>
      <c r="P34" s="21" t="str">
        <f>IF(SUM(C34:N34)&gt;0,1,"")</f>
        <v/>
      </c>
      <c r="S34" s="1" t="s">
        <v>46</v>
      </c>
      <c r="T34" s="1">
        <v>11.8</v>
      </c>
      <c r="U34" s="1" t="s">
        <v>47</v>
      </c>
      <c r="V34" s="21" t="s">
        <v>48</v>
      </c>
    </row>
    <row r="35" spans="1:22" s="21" customFormat="1" ht="15.75" customHeight="1" x14ac:dyDescent="0.3">
      <c r="A35" s="297" t="str">
        <f t="shared" ref="A35:A38" si="5">IF(A25="","",A25)</f>
        <v/>
      </c>
      <c r="B35" s="297"/>
      <c r="C35" s="47" t="str">
        <f t="shared" ref="C35:N38" si="6">IF(C25="","",C25*$J$18*$K$19*$J$31/1000*(100%-$E$20))</f>
        <v/>
      </c>
      <c r="D35" s="47" t="str">
        <f t="shared" si="6"/>
        <v/>
      </c>
      <c r="E35" s="47" t="str">
        <f t="shared" si="6"/>
        <v/>
      </c>
      <c r="F35" s="47" t="str">
        <f t="shared" si="6"/>
        <v/>
      </c>
      <c r="G35" s="47" t="str">
        <f t="shared" si="6"/>
        <v/>
      </c>
      <c r="H35" s="47" t="str">
        <f t="shared" si="6"/>
        <v/>
      </c>
      <c r="I35" s="47" t="str">
        <f t="shared" si="6"/>
        <v/>
      </c>
      <c r="J35" s="47" t="str">
        <f t="shared" si="6"/>
        <v/>
      </c>
      <c r="K35" s="47" t="str">
        <f t="shared" si="6"/>
        <v/>
      </c>
      <c r="L35" s="47" t="str">
        <f t="shared" si="6"/>
        <v/>
      </c>
      <c r="M35" s="47" t="str">
        <f t="shared" si="6"/>
        <v/>
      </c>
      <c r="N35" s="47" t="str">
        <f t="shared" si="6"/>
        <v/>
      </c>
      <c r="O35" s="29" t="str">
        <f t="shared" ref="O35:O38" si="7">IF(P35=1,SUM(C35:N35),"")</f>
        <v/>
      </c>
      <c r="P35" s="21" t="str">
        <f t="shared" ref="P35:P38" si="8">IF(SUM(C35:N35)&gt;0,1,"")</f>
        <v/>
      </c>
      <c r="S35" s="1" t="s">
        <v>49</v>
      </c>
      <c r="T35" s="1">
        <v>11.28</v>
      </c>
      <c r="U35" s="1" t="s">
        <v>47</v>
      </c>
      <c r="V35" s="21" t="s">
        <v>48</v>
      </c>
    </row>
    <row r="36" spans="1:22" s="21" customFormat="1" ht="15.75" customHeight="1" x14ac:dyDescent="0.3">
      <c r="A36" s="297" t="str">
        <f t="shared" si="5"/>
        <v/>
      </c>
      <c r="B36" s="297"/>
      <c r="C36" s="47" t="str">
        <f t="shared" si="6"/>
        <v/>
      </c>
      <c r="D36" s="47" t="str">
        <f t="shared" si="6"/>
        <v/>
      </c>
      <c r="E36" s="47" t="str">
        <f t="shared" si="6"/>
        <v/>
      </c>
      <c r="F36" s="47" t="str">
        <f t="shared" si="6"/>
        <v/>
      </c>
      <c r="G36" s="47" t="str">
        <f t="shared" si="6"/>
        <v/>
      </c>
      <c r="H36" s="47" t="str">
        <f t="shared" si="6"/>
        <v/>
      </c>
      <c r="I36" s="47" t="str">
        <f t="shared" si="6"/>
        <v/>
      </c>
      <c r="J36" s="47" t="str">
        <f t="shared" si="6"/>
        <v/>
      </c>
      <c r="K36" s="47" t="str">
        <f t="shared" si="6"/>
        <v/>
      </c>
      <c r="L36" s="47" t="str">
        <f t="shared" si="6"/>
        <v/>
      </c>
      <c r="M36" s="47" t="str">
        <f t="shared" si="6"/>
        <v/>
      </c>
      <c r="N36" s="47" t="str">
        <f t="shared" si="6"/>
        <v/>
      </c>
      <c r="O36" s="29" t="str">
        <f t="shared" si="7"/>
        <v/>
      </c>
      <c r="P36" s="21" t="str">
        <f t="shared" si="8"/>
        <v/>
      </c>
      <c r="S36" s="1" t="s">
        <v>50</v>
      </c>
      <c r="T36" s="1">
        <v>12.65</v>
      </c>
      <c r="U36" s="1" t="s">
        <v>47</v>
      </c>
      <c r="V36" s="21" t="s">
        <v>48</v>
      </c>
    </row>
    <row r="37" spans="1:22" s="21" customFormat="1" ht="15.75" customHeight="1" x14ac:dyDescent="0.3">
      <c r="A37" s="297" t="str">
        <f t="shared" si="5"/>
        <v/>
      </c>
      <c r="B37" s="297"/>
      <c r="C37" s="47" t="str">
        <f t="shared" si="6"/>
        <v/>
      </c>
      <c r="D37" s="47" t="str">
        <f t="shared" si="6"/>
        <v/>
      </c>
      <c r="E37" s="47" t="str">
        <f t="shared" si="6"/>
        <v/>
      </c>
      <c r="F37" s="47" t="str">
        <f t="shared" si="6"/>
        <v/>
      </c>
      <c r="G37" s="47" t="str">
        <f t="shared" si="6"/>
        <v/>
      </c>
      <c r="H37" s="47" t="str">
        <f t="shared" si="6"/>
        <v/>
      </c>
      <c r="I37" s="47" t="str">
        <f t="shared" si="6"/>
        <v/>
      </c>
      <c r="J37" s="47" t="str">
        <f t="shared" si="6"/>
        <v/>
      </c>
      <c r="K37" s="47" t="str">
        <f t="shared" si="6"/>
        <v/>
      </c>
      <c r="L37" s="47" t="str">
        <f t="shared" si="6"/>
        <v/>
      </c>
      <c r="M37" s="47" t="str">
        <f t="shared" si="6"/>
        <v/>
      </c>
      <c r="N37" s="47" t="str">
        <f t="shared" si="6"/>
        <v/>
      </c>
      <c r="O37" s="29" t="str">
        <f t="shared" si="7"/>
        <v/>
      </c>
      <c r="P37" s="21" t="str">
        <f t="shared" si="8"/>
        <v/>
      </c>
      <c r="S37" s="1" t="s">
        <v>51</v>
      </c>
      <c r="T37" s="1">
        <v>9.16</v>
      </c>
      <c r="U37" s="1" t="s">
        <v>47</v>
      </c>
      <c r="V37" s="21" t="s">
        <v>48</v>
      </c>
    </row>
    <row r="38" spans="1:22" s="21" customFormat="1" ht="15.75" customHeight="1" x14ac:dyDescent="0.3">
      <c r="A38" s="297" t="str">
        <f t="shared" si="5"/>
        <v/>
      </c>
      <c r="B38" s="297"/>
      <c r="C38" s="47" t="str">
        <f t="shared" si="6"/>
        <v/>
      </c>
      <c r="D38" s="47" t="str">
        <f t="shared" si="6"/>
        <v/>
      </c>
      <c r="E38" s="47" t="str">
        <f t="shared" si="6"/>
        <v/>
      </c>
      <c r="F38" s="47" t="str">
        <f t="shared" si="6"/>
        <v/>
      </c>
      <c r="G38" s="47" t="str">
        <f t="shared" si="6"/>
        <v/>
      </c>
      <c r="H38" s="47" t="str">
        <f t="shared" si="6"/>
        <v/>
      </c>
      <c r="I38" s="47" t="str">
        <f t="shared" si="6"/>
        <v/>
      </c>
      <c r="J38" s="47" t="str">
        <f t="shared" si="6"/>
        <v/>
      </c>
      <c r="K38" s="47" t="str">
        <f t="shared" si="6"/>
        <v/>
      </c>
      <c r="L38" s="47" t="str">
        <f t="shared" si="6"/>
        <v/>
      </c>
      <c r="M38" s="47" t="str">
        <f t="shared" si="6"/>
        <v/>
      </c>
      <c r="N38" s="47" t="str">
        <f t="shared" si="6"/>
        <v/>
      </c>
      <c r="O38" s="29" t="str">
        <f t="shared" si="7"/>
        <v/>
      </c>
      <c r="P38" s="21" t="str">
        <f t="shared" si="8"/>
        <v/>
      </c>
      <c r="S38" s="1" t="s">
        <v>52</v>
      </c>
      <c r="T38" s="1">
        <v>6.7</v>
      </c>
      <c r="U38" s="1" t="s">
        <v>47</v>
      </c>
      <c r="V38" s="21" t="s">
        <v>48</v>
      </c>
    </row>
    <row r="39" spans="1:22" s="21" customFormat="1" ht="15.75" customHeight="1" x14ac:dyDescent="0.3">
      <c r="A39" s="288" t="s">
        <v>24</v>
      </c>
      <c r="B39" s="288"/>
      <c r="C39" s="288"/>
      <c r="D39" s="288"/>
      <c r="E39" s="288"/>
      <c r="F39" s="288"/>
      <c r="G39" s="288"/>
      <c r="H39" s="288"/>
      <c r="I39" s="288"/>
      <c r="J39" s="288"/>
      <c r="K39" s="288"/>
      <c r="L39" s="288"/>
      <c r="M39" s="288"/>
      <c r="N39" s="288"/>
      <c r="O39" s="48" t="str">
        <f>IFERROR(AVERAGE(O34:O38),"")</f>
        <v/>
      </c>
      <c r="S39" s="1" t="s">
        <v>53</v>
      </c>
      <c r="T39" s="1">
        <v>2.79</v>
      </c>
      <c r="U39" s="1" t="s">
        <v>47</v>
      </c>
      <c r="V39" s="21" t="s">
        <v>48</v>
      </c>
    </row>
    <row r="40" spans="1:22" s="21" customFormat="1" ht="15.6" customHeight="1" x14ac:dyDescent="0.3">
      <c r="A40" s="305" t="s">
        <v>25</v>
      </c>
      <c r="B40" s="305"/>
      <c r="C40" s="305"/>
      <c r="D40" s="310" t="s">
        <v>26</v>
      </c>
      <c r="E40" s="310"/>
      <c r="F40" s="310"/>
      <c r="G40" s="310"/>
      <c r="H40" s="310"/>
      <c r="I40" s="310"/>
      <c r="J40" s="310"/>
      <c r="K40" s="310"/>
      <c r="L40" s="310"/>
      <c r="M40" s="310"/>
      <c r="N40" s="310"/>
      <c r="O40" s="84"/>
      <c r="S40" s="1" t="s">
        <v>54</v>
      </c>
      <c r="T40" s="1">
        <v>9.5</v>
      </c>
      <c r="U40" s="1" t="s">
        <v>55</v>
      </c>
      <c r="V40" s="21" t="s">
        <v>56</v>
      </c>
    </row>
    <row r="41" spans="1:22" s="22" customFormat="1" ht="21" customHeight="1" x14ac:dyDescent="0.25">
      <c r="B41" s="25" t="s">
        <v>57</v>
      </c>
      <c r="C41" s="289" t="s">
        <v>58</v>
      </c>
      <c r="D41" s="289"/>
      <c r="E41" s="289"/>
      <c r="F41" s="289"/>
      <c r="G41" s="289"/>
      <c r="H41" s="289"/>
      <c r="I41" s="289"/>
      <c r="J41" s="289"/>
      <c r="K41" s="289"/>
      <c r="L41" s="289"/>
      <c r="M41" s="49"/>
      <c r="N41" s="49"/>
      <c r="O41" s="49"/>
      <c r="S41" s="1" t="s">
        <v>59</v>
      </c>
      <c r="T41" s="1">
        <v>2140</v>
      </c>
      <c r="U41" s="1" t="s">
        <v>60</v>
      </c>
      <c r="V41" s="22" t="s">
        <v>61</v>
      </c>
    </row>
    <row r="42" spans="1:22" s="21" customFormat="1" ht="15.6" x14ac:dyDescent="0.3">
      <c r="A42" s="285" t="s">
        <v>10</v>
      </c>
      <c r="B42" s="285"/>
      <c r="C42" s="27" t="s">
        <v>11</v>
      </c>
      <c r="D42" s="27" t="s">
        <v>12</v>
      </c>
      <c r="E42" s="27" t="s">
        <v>13</v>
      </c>
      <c r="F42" s="27" t="s">
        <v>14</v>
      </c>
      <c r="G42" s="27" t="s">
        <v>15</v>
      </c>
      <c r="H42" s="27" t="s">
        <v>16</v>
      </c>
      <c r="I42" s="27" t="s">
        <v>17</v>
      </c>
      <c r="J42" s="27" t="s">
        <v>18</v>
      </c>
      <c r="K42" s="27" t="s">
        <v>19</v>
      </c>
      <c r="L42" s="27" t="s">
        <v>20</v>
      </c>
      <c r="M42" s="27" t="s">
        <v>21</v>
      </c>
      <c r="N42" s="27" t="s">
        <v>22</v>
      </c>
      <c r="O42" s="27" t="s">
        <v>23</v>
      </c>
      <c r="S42" s="1" t="s">
        <v>62</v>
      </c>
      <c r="T42" s="1">
        <v>750</v>
      </c>
      <c r="U42" s="1" t="s">
        <v>63</v>
      </c>
      <c r="V42" s="21" t="s">
        <v>64</v>
      </c>
    </row>
    <row r="43" spans="1:22" s="21" customFormat="1" ht="15.75" customHeight="1" x14ac:dyDescent="0.3">
      <c r="A43" s="284"/>
      <c r="B43" s="284"/>
      <c r="C43" s="50"/>
      <c r="D43" s="50"/>
      <c r="E43" s="50"/>
      <c r="F43" s="50"/>
      <c r="G43" s="50"/>
      <c r="H43" s="50"/>
      <c r="I43" s="50"/>
      <c r="J43" s="50"/>
      <c r="K43" s="50"/>
      <c r="L43" s="50"/>
      <c r="M43" s="50"/>
      <c r="N43" s="50"/>
      <c r="O43" s="51" t="str">
        <f>IF(P43=1,SUM(C43:N43),"")</f>
        <v/>
      </c>
      <c r="P43" s="21" t="str">
        <f>IF(SUM(C43:N43)&gt;0,1,"")</f>
        <v/>
      </c>
      <c r="S43" s="1" t="s">
        <v>65</v>
      </c>
      <c r="T43" s="1">
        <v>910</v>
      </c>
      <c r="U43" s="1" t="s">
        <v>63</v>
      </c>
      <c r="V43" s="21" t="s">
        <v>64</v>
      </c>
    </row>
    <row r="44" spans="1:22" s="21" customFormat="1" ht="15.75" customHeight="1" x14ac:dyDescent="0.3">
      <c r="A44" s="284"/>
      <c r="B44" s="284"/>
      <c r="C44" s="50"/>
      <c r="D44" s="50"/>
      <c r="E44" s="50"/>
      <c r="F44" s="50"/>
      <c r="G44" s="50"/>
      <c r="H44" s="50"/>
      <c r="I44" s="50"/>
      <c r="J44" s="50"/>
      <c r="K44" s="50"/>
      <c r="L44" s="50"/>
      <c r="M44" s="50"/>
      <c r="N44" s="50"/>
      <c r="O44" s="51" t="str">
        <f t="shared" ref="O44:O47" si="9">IF(P44=1,SUM(C44:N44),"")</f>
        <v/>
      </c>
      <c r="P44" s="21" t="str">
        <f t="shared" ref="P44:P47" si="10">IF(SUM(C44:N44)&gt;0,1,"")</f>
        <v/>
      </c>
      <c r="S44" s="1" t="s">
        <v>66</v>
      </c>
      <c r="T44" s="1">
        <v>4.66</v>
      </c>
      <c r="U44" s="1" t="s">
        <v>47</v>
      </c>
      <c r="V44" s="21" t="s">
        <v>48</v>
      </c>
    </row>
    <row r="45" spans="1:22" s="21" customFormat="1" ht="15.75" customHeight="1" x14ac:dyDescent="0.3">
      <c r="A45" s="284"/>
      <c r="B45" s="284"/>
      <c r="C45" s="50"/>
      <c r="D45" s="50"/>
      <c r="E45" s="50"/>
      <c r="F45" s="50"/>
      <c r="G45" s="50"/>
      <c r="H45" s="50"/>
      <c r="I45" s="50"/>
      <c r="J45" s="50"/>
      <c r="K45" s="50"/>
      <c r="L45" s="50"/>
      <c r="M45" s="50"/>
      <c r="N45" s="50"/>
      <c r="O45" s="51" t="str">
        <f t="shared" si="9"/>
        <v/>
      </c>
      <c r="P45" s="21" t="str">
        <f t="shared" si="10"/>
        <v/>
      </c>
      <c r="S45" s="1" t="s">
        <v>67</v>
      </c>
      <c r="T45" s="1">
        <v>4.87</v>
      </c>
      <c r="U45" s="1" t="s">
        <v>47</v>
      </c>
      <c r="V45" s="21" t="s">
        <v>48</v>
      </c>
    </row>
    <row r="46" spans="1:22" s="21" customFormat="1" ht="15.75" customHeight="1" x14ac:dyDescent="0.3">
      <c r="A46" s="284"/>
      <c r="B46" s="284"/>
      <c r="C46" s="50"/>
      <c r="D46" s="50"/>
      <c r="E46" s="50"/>
      <c r="F46" s="50"/>
      <c r="G46" s="50"/>
      <c r="H46" s="50"/>
      <c r="I46" s="50"/>
      <c r="J46" s="50"/>
      <c r="K46" s="50"/>
      <c r="L46" s="50"/>
      <c r="M46" s="50"/>
      <c r="N46" s="50"/>
      <c r="O46" s="51" t="str">
        <f t="shared" si="9"/>
        <v/>
      </c>
      <c r="P46" s="21" t="str">
        <f t="shared" si="10"/>
        <v/>
      </c>
      <c r="S46" s="1"/>
      <c r="T46" s="1"/>
      <c r="U46" s="1"/>
    </row>
    <row r="47" spans="1:22" s="21" customFormat="1" ht="15.75" customHeight="1" x14ac:dyDescent="0.3">
      <c r="A47" s="284"/>
      <c r="B47" s="284"/>
      <c r="C47" s="50"/>
      <c r="D47" s="50"/>
      <c r="E47" s="50"/>
      <c r="F47" s="50"/>
      <c r="G47" s="50"/>
      <c r="H47" s="50"/>
      <c r="I47" s="50"/>
      <c r="J47" s="50"/>
      <c r="K47" s="50"/>
      <c r="L47" s="50"/>
      <c r="M47" s="50"/>
      <c r="N47" s="50"/>
      <c r="O47" s="51" t="str">
        <f t="shared" si="9"/>
        <v/>
      </c>
      <c r="P47" s="21" t="str">
        <f t="shared" si="10"/>
        <v/>
      </c>
      <c r="S47" s="1" t="s">
        <v>68</v>
      </c>
      <c r="T47" s="1">
        <v>10.33</v>
      </c>
      <c r="U47" s="1" t="s">
        <v>47</v>
      </c>
      <c r="V47" s="21" t="s">
        <v>48</v>
      </c>
    </row>
    <row r="48" spans="1:22" s="21" customFormat="1" ht="15.75" customHeight="1" x14ac:dyDescent="0.3">
      <c r="A48" s="288" t="s">
        <v>24</v>
      </c>
      <c r="B48" s="288"/>
      <c r="C48" s="288"/>
      <c r="D48" s="288"/>
      <c r="E48" s="288"/>
      <c r="F48" s="288"/>
      <c r="G48" s="288"/>
      <c r="H48" s="288"/>
      <c r="I48" s="288"/>
      <c r="J48" s="288"/>
      <c r="K48" s="288"/>
      <c r="L48" s="288"/>
      <c r="M48" s="288"/>
      <c r="N48" s="288"/>
      <c r="O48" s="48" t="str">
        <f>IFERROR(AVERAGE(O43:O47),"")</f>
        <v/>
      </c>
      <c r="S48" s="1" t="s">
        <v>69</v>
      </c>
      <c r="T48" s="1">
        <v>7.44</v>
      </c>
      <c r="U48" s="1" t="s">
        <v>47</v>
      </c>
      <c r="V48" s="21" t="s">
        <v>48</v>
      </c>
    </row>
    <row r="49" spans="1:21" s="21" customFormat="1" ht="15.6" x14ac:dyDescent="0.3">
      <c r="A49" s="41"/>
      <c r="B49" s="41"/>
      <c r="C49" s="52"/>
      <c r="D49" s="52"/>
      <c r="E49" s="52"/>
      <c r="F49" s="52"/>
      <c r="G49" s="52"/>
      <c r="H49" s="52"/>
      <c r="I49" s="52"/>
      <c r="J49" s="52"/>
      <c r="K49" s="52"/>
      <c r="L49" s="52"/>
      <c r="M49" s="52"/>
      <c r="N49" s="52"/>
      <c r="O49" s="52"/>
      <c r="S49" s="1" t="s">
        <v>70</v>
      </c>
      <c r="T49" s="1"/>
      <c r="U49" s="1"/>
    </row>
    <row r="50" spans="1:21" s="22" customFormat="1" x14ac:dyDescent="0.25">
      <c r="B50" s="25" t="s">
        <v>71</v>
      </c>
      <c r="C50" s="299" t="s">
        <v>72</v>
      </c>
      <c r="D50" s="299"/>
      <c r="E50" s="299"/>
      <c r="F50" s="299"/>
      <c r="G50" s="299"/>
      <c r="H50" s="299"/>
      <c r="I50" s="299"/>
      <c r="J50" s="299"/>
      <c r="K50" s="299"/>
      <c r="L50" s="299"/>
      <c r="M50" s="49"/>
      <c r="N50" s="49"/>
      <c r="O50" s="49"/>
      <c r="S50" s="1" t="s">
        <v>73</v>
      </c>
      <c r="T50" s="1"/>
      <c r="U50" s="1"/>
    </row>
    <row r="51" spans="1:21" s="24" customFormat="1" x14ac:dyDescent="0.25">
      <c r="B51" s="300" t="s">
        <v>74</v>
      </c>
      <c r="C51" s="300"/>
      <c r="D51" s="300"/>
      <c r="E51" s="300"/>
      <c r="F51" s="300"/>
      <c r="G51" s="300"/>
      <c r="H51" s="300"/>
      <c r="I51" s="300"/>
      <c r="J51" s="300"/>
      <c r="K51" s="300"/>
      <c r="L51" s="300"/>
      <c r="M51" s="300"/>
      <c r="N51" s="300"/>
      <c r="O51" s="300"/>
      <c r="S51" s="1" t="s">
        <v>75</v>
      </c>
      <c r="T51" s="1"/>
      <c r="U51" s="1"/>
    </row>
    <row r="52" spans="1:21" s="24" customFormat="1" x14ac:dyDescent="0.25">
      <c r="B52" s="301"/>
      <c r="C52" s="301"/>
      <c r="D52" s="301"/>
      <c r="E52" s="53" t="s">
        <v>76</v>
      </c>
      <c r="F52" s="53"/>
      <c r="G52" s="53"/>
      <c r="H52" s="53"/>
      <c r="I52" s="53"/>
      <c r="J52" s="53"/>
      <c r="K52" s="53"/>
      <c r="L52" s="53"/>
      <c r="M52" s="53"/>
      <c r="N52" s="53"/>
      <c r="O52" s="53"/>
    </row>
    <row r="53" spans="1:21" s="22" customFormat="1" ht="8.4" customHeight="1" x14ac:dyDescent="0.3">
      <c r="B53" s="54"/>
      <c r="C53" s="54"/>
      <c r="D53" s="54"/>
      <c r="E53" s="54"/>
      <c r="F53" s="54"/>
      <c r="G53" s="54"/>
      <c r="H53" s="54"/>
      <c r="I53" s="54"/>
      <c r="J53" s="54"/>
      <c r="K53" s="54"/>
      <c r="L53" s="54"/>
      <c r="M53" s="54"/>
      <c r="N53" s="54"/>
      <c r="O53" s="54"/>
    </row>
    <row r="54" spans="1:21" s="21" customFormat="1" ht="15.6" x14ac:dyDescent="0.3">
      <c r="A54" s="302" t="s">
        <v>10</v>
      </c>
      <c r="B54" s="303"/>
      <c r="C54" s="55" t="s">
        <v>11</v>
      </c>
      <c r="D54" s="55" t="s">
        <v>12</v>
      </c>
      <c r="E54" s="55" t="s">
        <v>13</v>
      </c>
      <c r="F54" s="55" t="s">
        <v>14</v>
      </c>
      <c r="G54" s="55" t="s">
        <v>15</v>
      </c>
      <c r="H54" s="55" t="s">
        <v>16</v>
      </c>
      <c r="I54" s="55" t="s">
        <v>17</v>
      </c>
      <c r="J54" s="55" t="s">
        <v>18</v>
      </c>
      <c r="K54" s="55" t="s">
        <v>19</v>
      </c>
      <c r="L54" s="55" t="s">
        <v>20</v>
      </c>
      <c r="M54" s="55" t="s">
        <v>21</v>
      </c>
      <c r="N54" s="55" t="s">
        <v>22</v>
      </c>
      <c r="O54" s="56" t="s">
        <v>23</v>
      </c>
    </row>
    <row r="55" spans="1:21" s="21" customFormat="1" ht="15.75" customHeight="1" x14ac:dyDescent="0.3">
      <c r="A55" s="284"/>
      <c r="B55" s="284"/>
      <c r="C55" s="57"/>
      <c r="D55" s="57"/>
      <c r="E55" s="57"/>
      <c r="F55" s="57"/>
      <c r="G55" s="57"/>
      <c r="H55" s="57"/>
      <c r="I55" s="57"/>
      <c r="J55" s="57"/>
      <c r="K55" s="57"/>
      <c r="L55" s="57"/>
      <c r="M55" s="57"/>
      <c r="N55" s="57"/>
      <c r="O55" s="58" t="str">
        <f>IF(P55=1,SUM(C55:N55),"")</f>
        <v/>
      </c>
      <c r="P55" s="21" t="str">
        <f>IF(SUM(C55:N55)&gt;0,1,"")</f>
        <v/>
      </c>
    </row>
    <row r="56" spans="1:21" s="21" customFormat="1" ht="15.75" customHeight="1" x14ac:dyDescent="0.3">
      <c r="A56" s="284"/>
      <c r="B56" s="284"/>
      <c r="C56" s="57"/>
      <c r="D56" s="57"/>
      <c r="E56" s="57"/>
      <c r="F56" s="57"/>
      <c r="G56" s="57"/>
      <c r="H56" s="57"/>
      <c r="I56" s="57"/>
      <c r="J56" s="57"/>
      <c r="K56" s="57"/>
      <c r="L56" s="57"/>
      <c r="M56" s="57"/>
      <c r="N56" s="57"/>
      <c r="O56" s="58" t="str">
        <f t="shared" ref="O56:O59" si="11">IF(P56=1,SUM(C56:N56),"")</f>
        <v/>
      </c>
      <c r="P56" s="21" t="str">
        <f t="shared" ref="P56:P59" si="12">IF(SUM(C56:N56)&gt;0,1,"")</f>
        <v/>
      </c>
    </row>
    <row r="57" spans="1:21" s="21" customFormat="1" ht="15.75" customHeight="1" x14ac:dyDescent="0.3">
      <c r="A57" s="284"/>
      <c r="B57" s="284"/>
      <c r="C57" s="57"/>
      <c r="D57" s="57"/>
      <c r="E57" s="57"/>
      <c r="F57" s="57"/>
      <c r="G57" s="57"/>
      <c r="H57" s="57"/>
      <c r="I57" s="57"/>
      <c r="J57" s="57"/>
      <c r="K57" s="57"/>
      <c r="L57" s="57"/>
      <c r="M57" s="57"/>
      <c r="N57" s="57"/>
      <c r="O57" s="58" t="str">
        <f t="shared" si="11"/>
        <v/>
      </c>
      <c r="P57" s="21" t="str">
        <f t="shared" si="12"/>
        <v/>
      </c>
    </row>
    <row r="58" spans="1:21" s="21" customFormat="1" ht="15.75" customHeight="1" x14ac:dyDescent="0.3">
      <c r="A58" s="284"/>
      <c r="B58" s="284"/>
      <c r="C58" s="57"/>
      <c r="D58" s="57"/>
      <c r="E58" s="57"/>
      <c r="F58" s="57"/>
      <c r="G58" s="57"/>
      <c r="H58" s="57"/>
      <c r="I58" s="57"/>
      <c r="J58" s="57"/>
      <c r="K58" s="57"/>
      <c r="L58" s="57"/>
      <c r="M58" s="57"/>
      <c r="N58" s="57"/>
      <c r="O58" s="58" t="str">
        <f t="shared" si="11"/>
        <v/>
      </c>
      <c r="P58" s="21" t="str">
        <f t="shared" si="12"/>
        <v/>
      </c>
    </row>
    <row r="59" spans="1:21" s="21" customFormat="1" ht="15.75" customHeight="1" x14ac:dyDescent="0.3">
      <c r="A59" s="284"/>
      <c r="B59" s="284"/>
      <c r="C59" s="57"/>
      <c r="D59" s="57"/>
      <c r="E59" s="57"/>
      <c r="F59" s="57"/>
      <c r="G59" s="57"/>
      <c r="H59" s="57"/>
      <c r="I59" s="57"/>
      <c r="J59" s="57"/>
      <c r="K59" s="57"/>
      <c r="L59" s="57"/>
      <c r="M59" s="57"/>
      <c r="N59" s="57"/>
      <c r="O59" s="58" t="str">
        <f t="shared" si="11"/>
        <v/>
      </c>
      <c r="P59" s="21" t="str">
        <f t="shared" si="12"/>
        <v/>
      </c>
    </row>
    <row r="60" spans="1:21" s="21" customFormat="1" ht="15.75" customHeight="1" x14ac:dyDescent="0.3">
      <c r="A60" s="298" t="s">
        <v>24</v>
      </c>
      <c r="B60" s="298"/>
      <c r="C60" s="298"/>
      <c r="D60" s="298"/>
      <c r="E60" s="298"/>
      <c r="F60" s="298"/>
      <c r="G60" s="298"/>
      <c r="H60" s="298"/>
      <c r="I60" s="298"/>
      <c r="J60" s="298"/>
      <c r="K60" s="298"/>
      <c r="L60" s="298"/>
      <c r="M60" s="298"/>
      <c r="N60" s="298"/>
      <c r="O60" s="48" t="str">
        <f>IFERROR(AVERAGE(O55:O59),"")</f>
        <v/>
      </c>
    </row>
  </sheetData>
  <mergeCells count="70">
    <mergeCell ref="M6:O6"/>
    <mergeCell ref="F6:K6"/>
    <mergeCell ref="B7:E7"/>
    <mergeCell ref="F7:K7"/>
    <mergeCell ref="C17:L17"/>
    <mergeCell ref="A16:C16"/>
    <mergeCell ref="B6:E6"/>
    <mergeCell ref="M7:O7"/>
    <mergeCell ref="F21:H21"/>
    <mergeCell ref="K18:L18"/>
    <mergeCell ref="M18:O18"/>
    <mergeCell ref="D16:N16"/>
    <mergeCell ref="I21:L21"/>
    <mergeCell ref="A46:B46"/>
    <mergeCell ref="A33:B33"/>
    <mergeCell ref="A34:B34"/>
    <mergeCell ref="C32:I32"/>
    <mergeCell ref="A28:B28"/>
    <mergeCell ref="B31:F31"/>
    <mergeCell ref="A40:C40"/>
    <mergeCell ref="B29:M29"/>
    <mergeCell ref="A38:B38"/>
    <mergeCell ref="A43:B43"/>
    <mergeCell ref="A44:B44"/>
    <mergeCell ref="A45:B45"/>
    <mergeCell ref="K31:O31"/>
    <mergeCell ref="B30:O30"/>
    <mergeCell ref="D40:N40"/>
    <mergeCell ref="A59:B59"/>
    <mergeCell ref="A60:N60"/>
    <mergeCell ref="C50:L50"/>
    <mergeCell ref="B51:O51"/>
    <mergeCell ref="B52:D52"/>
    <mergeCell ref="A54:B54"/>
    <mergeCell ref="A55:B55"/>
    <mergeCell ref="A56:B56"/>
    <mergeCell ref="A57:B57"/>
    <mergeCell ref="A58:B58"/>
    <mergeCell ref="A48:N48"/>
    <mergeCell ref="A39:N39"/>
    <mergeCell ref="C41:L41"/>
    <mergeCell ref="A42:B42"/>
    <mergeCell ref="A9:B9"/>
    <mergeCell ref="A10:B10"/>
    <mergeCell ref="C22:O22"/>
    <mergeCell ref="B19:J19"/>
    <mergeCell ref="B20:D20"/>
    <mergeCell ref="F20:L20"/>
    <mergeCell ref="B21:E21"/>
    <mergeCell ref="D18:F18"/>
    <mergeCell ref="A47:B47"/>
    <mergeCell ref="A35:B35"/>
    <mergeCell ref="A36:B36"/>
    <mergeCell ref="A37:B37"/>
    <mergeCell ref="A1:B1"/>
    <mergeCell ref="A3:O3"/>
    <mergeCell ref="A27:B27"/>
    <mergeCell ref="A23:B23"/>
    <mergeCell ref="A24:B24"/>
    <mergeCell ref="A25:B25"/>
    <mergeCell ref="A26:B26"/>
    <mergeCell ref="B18:C18"/>
    <mergeCell ref="G18:I18"/>
    <mergeCell ref="A11:B11"/>
    <mergeCell ref="A12:B12"/>
    <mergeCell ref="A13:B13"/>
    <mergeCell ref="A14:B14"/>
    <mergeCell ref="A15:N15"/>
    <mergeCell ref="C8:N8"/>
    <mergeCell ref="A4:O4"/>
  </mergeCells>
  <conditionalFormatting sqref="O8 M17:O17 J18:K18 K19:O19 E20:F20 B17:B22 A23 J32:O32 O54 C17 C32 G18 C49:O49 B30:B32 O56:O60 O44:O48 O35:O39 O25:O29 O11:O15 C33:O38 F21 I21 A9:A16 M20:O21 C23:O28 C42:O47 C9:O14 C55:O59">
    <cfRule type="expression" dxfId="21" priority="26">
      <formula>#REF!=0</formula>
    </cfRule>
  </conditionalFormatting>
  <conditionalFormatting sqref="A29:A30 B29 N29">
    <cfRule type="expression" dxfId="20" priority="25">
      <formula>#REF!=0</formula>
    </cfRule>
  </conditionalFormatting>
  <conditionalFormatting sqref="A33">
    <cfRule type="expression" dxfId="19" priority="24">
      <formula>#REF!=0</formula>
    </cfRule>
  </conditionalFormatting>
  <conditionalFormatting sqref="A39">
    <cfRule type="expression" dxfId="18" priority="23">
      <formula>#REF!=0</formula>
    </cfRule>
  </conditionalFormatting>
  <conditionalFormatting sqref="M41:O41">
    <cfRule type="expression" dxfId="17" priority="22">
      <formula>#REF!=0</formula>
    </cfRule>
  </conditionalFormatting>
  <conditionalFormatting sqref="A42">
    <cfRule type="expression" dxfId="16" priority="21">
      <formula>#REF!=0</formula>
    </cfRule>
  </conditionalFormatting>
  <conditionalFormatting sqref="A48:A49">
    <cfRule type="expression" dxfId="15" priority="20">
      <formula>#REF!=0</formula>
    </cfRule>
  </conditionalFormatting>
  <conditionalFormatting sqref="M50:O50">
    <cfRule type="expression" dxfId="14" priority="19">
      <formula>#REF!=0</formula>
    </cfRule>
  </conditionalFormatting>
  <conditionalFormatting sqref="A54">
    <cfRule type="expression" dxfId="13" priority="18">
      <formula>#REF!=0</formula>
    </cfRule>
  </conditionalFormatting>
  <conditionalFormatting sqref="A60">
    <cfRule type="expression" dxfId="12" priority="17">
      <formula>#REF!=0</formula>
    </cfRule>
  </conditionalFormatting>
  <conditionalFormatting sqref="C54:N54">
    <cfRule type="expression" dxfId="11" priority="13">
      <formula>#REF!=0</formula>
    </cfRule>
  </conditionalFormatting>
  <conditionalFormatting sqref="A34:A38">
    <cfRule type="expression" dxfId="10" priority="11">
      <formula>#REF!=0</formula>
    </cfRule>
  </conditionalFormatting>
  <conditionalFormatting sqref="D18 J18 K19 E20 F21 B52">
    <cfRule type="expression" dxfId="9" priority="27">
      <formula>#REF!=1</formula>
    </cfRule>
  </conditionalFormatting>
  <conditionalFormatting sqref="A24:A28">
    <cfRule type="expression" dxfId="8" priority="4">
      <formula>#REF!=0</formula>
    </cfRule>
  </conditionalFormatting>
  <conditionalFormatting sqref="A43:A47">
    <cfRule type="expression" dxfId="7" priority="3">
      <formula>#REF!=0</formula>
    </cfRule>
  </conditionalFormatting>
  <conditionalFormatting sqref="A55:A59">
    <cfRule type="expression" dxfId="6" priority="2">
      <formula>#REF!=0</formula>
    </cfRule>
  </conditionalFormatting>
  <conditionalFormatting sqref="A40">
    <cfRule type="expression" dxfId="5" priority="1">
      <formula>#REF!=0</formula>
    </cfRule>
  </conditionalFormatting>
  <dataValidations count="4">
    <dataValidation allowBlank="1" showErrorMessage="1" errorTitle="KĻŪDA" error="Tikai veseli skaitļi robežās no 0 līdz 10000000" sqref="B30 M19:O21 C34:N38 L19 M17:O17 E20:F20 I21 C49:N49 O60 J18:K18 C17 C55:N59 G18 O43:O49 O15 O39 C43:N47 C24:N28 F21 O29" xr:uid="{00000000-0002-0000-0000-000000000000}"/>
    <dataValidation allowBlank="1" showErrorMessage="1" errorTitle="KĻŪDA" error="Tikai veseli skaitļi robežās no 2005 līdz 2015" sqref="A29:A30 A34:B38 B17:B22 A15:A16 A48:A49 A60 A39:A40 B29 N29" xr:uid="{00000000-0002-0000-0000-000001000000}"/>
    <dataValidation type="decimal" allowBlank="1" showErrorMessage="1" errorTitle="KĻŪDA" error="Tikai skaitļi no 0 līdz 1" sqref="K19" xr:uid="{00000000-0002-0000-0000-000002000000}">
      <formula1>0.1</formula1>
      <formula2>1</formula2>
    </dataValidation>
    <dataValidation type="list" allowBlank="1" showInputMessage="1" showErrorMessage="1" sqref="D18:F18" xr:uid="{00000000-0002-0000-0000-000003000000}">
      <formula1>$S$34:$S$51</formula1>
    </dataValidation>
  </dataValidations>
  <hyperlinks>
    <hyperlink ref="T31" r:id="rId1" xr:uid="{00000000-0004-0000-0000-000000000000}"/>
  </hyperlinks>
  <printOptions horizontalCentered="1"/>
  <pageMargins left="0.11811023622047245" right="0.11811023622047245" top="0.74803149606299213" bottom="0.74803149606299213" header="0.31496062992125984" footer="0.31496062992125984"/>
  <pageSetup paperSize="9" scale="75" orientation="portrait" horizontalDpi="1200" verticalDpi="1200" r:id="rId2"/>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70"/>
  <sheetViews>
    <sheetView showGridLines="0" workbookViewId="0">
      <selection activeCell="M21" sqref="M21"/>
    </sheetView>
  </sheetViews>
  <sheetFormatPr defaultColWidth="11.44140625" defaultRowHeight="13.8" x14ac:dyDescent="0.25"/>
  <cols>
    <col min="1" max="1" width="1.44140625" style="1" customWidth="1"/>
    <col min="2" max="2" width="5.109375" style="1" customWidth="1"/>
    <col min="3" max="3" width="18.5546875" style="1" customWidth="1"/>
    <col min="4" max="6" width="15.44140625" style="1" customWidth="1"/>
    <col min="7" max="7" width="14.33203125" style="1" customWidth="1"/>
    <col min="8" max="9" width="10.88671875" style="1" customWidth="1"/>
    <col min="10" max="11" width="11.44140625" style="1" customWidth="1"/>
    <col min="12" max="12" width="6.33203125" style="1" customWidth="1"/>
    <col min="13" max="16384" width="11.44140625" style="1"/>
  </cols>
  <sheetData>
    <row r="1" spans="1:12" s="2" customFormat="1" ht="30.6" x14ac:dyDescent="0.55000000000000004">
      <c r="A1" s="390" t="s">
        <v>77</v>
      </c>
      <c r="B1" s="391"/>
      <c r="C1" s="391"/>
      <c r="D1" s="391"/>
      <c r="E1" s="391"/>
      <c r="F1" s="391"/>
      <c r="G1" s="391"/>
      <c r="H1" s="391"/>
      <c r="I1" s="391"/>
      <c r="J1" s="391"/>
      <c r="K1" s="391"/>
      <c r="L1" s="392"/>
    </row>
    <row r="2" spans="1:12" s="16" customFormat="1" x14ac:dyDescent="0.25">
      <c r="A2" s="398" t="s">
        <v>78</v>
      </c>
      <c r="B2" s="398"/>
      <c r="C2" s="398"/>
      <c r="D2" s="398"/>
      <c r="E2" s="398"/>
      <c r="F2" s="398"/>
      <c r="G2" s="398"/>
      <c r="H2" s="398"/>
      <c r="I2" s="398"/>
      <c r="J2" s="398"/>
      <c r="K2" s="398"/>
      <c r="L2" s="398"/>
    </row>
    <row r="3" spans="1:12" s="16" customFormat="1" x14ac:dyDescent="0.25">
      <c r="A3" s="243"/>
      <c r="B3" s="243"/>
      <c r="C3" s="243"/>
      <c r="D3" s="355" t="s">
        <v>79</v>
      </c>
      <c r="E3" s="355"/>
      <c r="F3" s="358" t="s">
        <v>80</v>
      </c>
      <c r="G3" s="359"/>
      <c r="H3" s="355" t="s">
        <v>81</v>
      </c>
      <c r="I3" s="355"/>
      <c r="J3" s="355" t="s">
        <v>82</v>
      </c>
      <c r="K3" s="355"/>
      <c r="L3" s="243"/>
    </row>
    <row r="4" spans="1:12" s="16" customFormat="1" x14ac:dyDescent="0.25">
      <c r="A4" s="243"/>
      <c r="B4" s="243"/>
      <c r="C4" s="243"/>
      <c r="D4" s="270" t="s">
        <v>83</v>
      </c>
      <c r="E4" s="270" t="s">
        <v>84</v>
      </c>
      <c r="F4" s="270" t="s">
        <v>83</v>
      </c>
      <c r="G4" s="270" t="s">
        <v>84</v>
      </c>
      <c r="H4" s="270" t="s">
        <v>83</v>
      </c>
      <c r="I4" s="270" t="s">
        <v>84</v>
      </c>
      <c r="J4" s="270" t="s">
        <v>83</v>
      </c>
      <c r="K4" s="270" t="s">
        <v>84</v>
      </c>
      <c r="L4" s="243"/>
    </row>
    <row r="5" spans="1:12" s="157" customFormat="1" ht="13.2" x14ac:dyDescent="0.25">
      <c r="A5" s="3"/>
      <c r="B5" s="61"/>
      <c r="C5" s="399"/>
      <c r="D5" s="276"/>
      <c r="E5" s="275"/>
      <c r="F5" s="356">
        <f>J10*24</f>
        <v>0</v>
      </c>
      <c r="G5" s="360">
        <f>K10*24</f>
        <v>0</v>
      </c>
      <c r="H5" s="362">
        <f>J8</f>
        <v>0</v>
      </c>
      <c r="I5" s="362">
        <f>K8</f>
        <v>0</v>
      </c>
      <c r="J5" s="271" t="str">
        <f>IFERROR(IF(D5="","",H5-D5*1000/F5),"")</f>
        <v/>
      </c>
      <c r="K5" s="272" t="str">
        <f>IFERROR(IF(E5="","",I5-E5*1000/G5),"")</f>
        <v/>
      </c>
      <c r="L5" s="62"/>
    </row>
    <row r="6" spans="1:12" s="157" customFormat="1" ht="13.2" x14ac:dyDescent="0.25">
      <c r="A6" s="3"/>
      <c r="B6" s="61"/>
      <c r="C6" s="399"/>
      <c r="D6" s="276"/>
      <c r="E6" s="276"/>
      <c r="F6" s="357"/>
      <c r="G6" s="361"/>
      <c r="H6" s="361"/>
      <c r="I6" s="363"/>
      <c r="J6" s="271" t="str">
        <f>IFERROR(IF(D6="","",H5-D6*1000/F5),"")</f>
        <v/>
      </c>
      <c r="K6" s="272" t="str">
        <f>IFERROR(IF(E6="","",I5-E6*1000/G5),"")</f>
        <v/>
      </c>
      <c r="L6" s="62"/>
    </row>
    <row r="7" spans="1:12" s="157" customFormat="1" x14ac:dyDescent="0.3">
      <c r="A7" s="3"/>
      <c r="B7" s="61"/>
      <c r="C7" s="242"/>
      <c r="D7" s="3"/>
      <c r="E7" s="64"/>
      <c r="F7" s="64"/>
      <c r="G7" s="266"/>
      <c r="H7" s="266"/>
      <c r="I7" s="267"/>
      <c r="J7" s="269" t="s">
        <v>85</v>
      </c>
      <c r="K7" s="269" t="s">
        <v>86</v>
      </c>
      <c r="L7" s="62"/>
    </row>
    <row r="8" spans="1:12" x14ac:dyDescent="0.25">
      <c r="A8" s="5"/>
      <c r="B8" s="6"/>
      <c r="C8" s="63"/>
      <c r="D8" s="394"/>
      <c r="E8" s="394"/>
      <c r="F8" s="394"/>
      <c r="G8" s="64"/>
      <c r="H8" s="5"/>
      <c r="I8" s="7" t="s">
        <v>87</v>
      </c>
      <c r="J8" s="244"/>
      <c r="K8" s="244"/>
      <c r="L8" s="9" t="s">
        <v>88</v>
      </c>
    </row>
    <row r="9" spans="1:12" x14ac:dyDescent="0.25">
      <c r="A9" s="5"/>
      <c r="B9" s="6"/>
      <c r="C9" s="11"/>
      <c r="D9" s="393"/>
      <c r="E9" s="393"/>
      <c r="F9" s="274"/>
      <c r="G9" s="5"/>
      <c r="H9" s="5"/>
      <c r="I9" s="7" t="s">
        <v>89</v>
      </c>
      <c r="J9" s="8"/>
      <c r="K9" s="8"/>
      <c r="L9" s="9" t="s">
        <v>88</v>
      </c>
    </row>
    <row r="10" spans="1:12" x14ac:dyDescent="0.25">
      <c r="A10" s="12"/>
      <c r="B10" s="10"/>
      <c r="C10" s="11"/>
      <c r="D10" s="403" t="s">
        <v>7</v>
      </c>
      <c r="E10" s="403"/>
      <c r="F10" s="274"/>
      <c r="G10" s="7"/>
      <c r="H10" s="395" t="s">
        <v>90</v>
      </c>
      <c r="I10" s="396"/>
      <c r="J10" s="13"/>
      <c r="K10" s="13"/>
      <c r="L10" s="268" t="s">
        <v>91</v>
      </c>
    </row>
    <row r="11" spans="1:12" x14ac:dyDescent="0.25">
      <c r="A11" s="12"/>
      <c r="B11" s="10"/>
      <c r="C11" s="14"/>
      <c r="D11" s="15"/>
      <c r="E11" s="393"/>
      <c r="F11" s="393"/>
      <c r="G11" s="16"/>
      <c r="H11" s="10"/>
      <c r="I11" s="7" t="s">
        <v>92</v>
      </c>
      <c r="J11" s="8"/>
      <c r="K11" s="8"/>
      <c r="L11" s="17" t="s">
        <v>93</v>
      </c>
    </row>
    <row r="12" spans="1:12" x14ac:dyDescent="0.25">
      <c r="A12" s="12"/>
      <c r="B12" s="10"/>
      <c r="C12" s="393"/>
      <c r="D12" s="393"/>
      <c r="E12" s="393"/>
      <c r="F12" s="393"/>
      <c r="G12" s="16"/>
      <c r="H12" s="10"/>
      <c r="I12" s="7" t="s">
        <v>94</v>
      </c>
      <c r="J12" s="8"/>
      <c r="K12" s="8"/>
      <c r="L12" s="17" t="s">
        <v>95</v>
      </c>
    </row>
    <row r="13" spans="1:12" ht="15.6" x14ac:dyDescent="0.3">
      <c r="A13" s="16"/>
      <c r="B13" s="397" t="s">
        <v>96</v>
      </c>
      <c r="C13" s="397"/>
      <c r="D13" s="397"/>
      <c r="E13" s="397"/>
      <c r="F13" s="397"/>
      <c r="G13" s="397"/>
      <c r="H13" s="397"/>
      <c r="I13" s="397"/>
      <c r="J13" s="397"/>
      <c r="K13" s="397"/>
      <c r="L13" s="397"/>
    </row>
    <row r="14" spans="1:12" ht="29.4" customHeight="1" x14ac:dyDescent="0.25">
      <c r="A14" s="16"/>
      <c r="B14" s="388" t="s">
        <v>97</v>
      </c>
      <c r="C14" s="388"/>
      <c r="D14" s="161" t="s">
        <v>98</v>
      </c>
      <c r="E14" s="162" t="s">
        <v>99</v>
      </c>
      <c r="F14" s="162" t="s">
        <v>100</v>
      </c>
      <c r="G14" s="162" t="s">
        <v>101</v>
      </c>
      <c r="H14" s="162" t="s">
        <v>102</v>
      </c>
      <c r="I14" s="162" t="s">
        <v>103</v>
      </c>
      <c r="J14" s="162" t="s">
        <v>104</v>
      </c>
      <c r="K14" s="370" t="s">
        <v>105</v>
      </c>
      <c r="L14" s="371"/>
    </row>
    <row r="15" spans="1:12" x14ac:dyDescent="0.25">
      <c r="A15" s="16"/>
      <c r="B15" s="388"/>
      <c r="C15" s="388"/>
      <c r="D15" s="163" t="s">
        <v>93</v>
      </c>
      <c r="E15" s="163" t="s">
        <v>106</v>
      </c>
      <c r="F15" s="163" t="s">
        <v>107</v>
      </c>
      <c r="G15" s="163" t="s">
        <v>108</v>
      </c>
      <c r="H15" s="163" t="s">
        <v>109</v>
      </c>
      <c r="I15" s="163" t="s">
        <v>110</v>
      </c>
      <c r="J15" s="248" t="s">
        <v>111</v>
      </c>
      <c r="K15" s="401" t="s">
        <v>112</v>
      </c>
      <c r="L15" s="402"/>
    </row>
    <row r="16" spans="1:12" s="252" customFormat="1" ht="7.8" x14ac:dyDescent="0.15">
      <c r="A16" s="251"/>
      <c r="B16" s="389">
        <v>1</v>
      </c>
      <c r="C16" s="389"/>
      <c r="D16" s="250">
        <v>2</v>
      </c>
      <c r="E16" s="250">
        <v>3</v>
      </c>
      <c r="F16" s="250">
        <v>4</v>
      </c>
      <c r="G16" s="250">
        <v>5</v>
      </c>
      <c r="H16" s="250">
        <v>6</v>
      </c>
      <c r="I16" s="250">
        <v>7</v>
      </c>
      <c r="J16" s="250">
        <v>8</v>
      </c>
      <c r="K16" s="400">
        <v>9</v>
      </c>
      <c r="L16" s="400"/>
    </row>
    <row r="17" spans="1:12" ht="14.4" customHeight="1" x14ac:dyDescent="0.25">
      <c r="A17" s="16"/>
      <c r="B17" s="372" t="s">
        <v>113</v>
      </c>
      <c r="C17" s="373"/>
      <c r="D17" s="8"/>
      <c r="E17" s="18"/>
      <c r="F17" s="8"/>
      <c r="G17" s="18"/>
      <c r="H17" s="249" t="str">
        <f>IF(D17="","",D17*E17+F17*G17)</f>
        <v/>
      </c>
      <c r="I17" s="247" t="str">
        <f t="shared" ref="I17:I36" si="0">IF(D17="","",$J$10*24)</f>
        <v/>
      </c>
      <c r="J17" s="8"/>
      <c r="K17" s="368" t="str">
        <f>IFERROR(IF(D17="","",H17*I17*J17/1000),"")</f>
        <v/>
      </c>
      <c r="L17" s="369"/>
    </row>
    <row r="18" spans="1:12" ht="14.4" customHeight="1" x14ac:dyDescent="0.25">
      <c r="A18" s="16"/>
      <c r="B18" s="372" t="s">
        <v>114</v>
      </c>
      <c r="C18" s="373"/>
      <c r="D18" s="8"/>
      <c r="E18" s="18"/>
      <c r="F18" s="8"/>
      <c r="G18" s="18"/>
      <c r="H18" s="249" t="str">
        <f t="shared" ref="H18:H36" si="1">IF(D18="","",D18*E18+F18*G18)</f>
        <v/>
      </c>
      <c r="I18" s="247" t="str">
        <f t="shared" si="0"/>
        <v/>
      </c>
      <c r="J18" s="8"/>
      <c r="K18" s="368" t="str">
        <f t="shared" ref="K18:K36" si="2">IFERROR(IF(D18="","",H18*I18*J18/1000),"")</f>
        <v/>
      </c>
      <c r="L18" s="369"/>
    </row>
    <row r="19" spans="1:12" x14ac:dyDescent="0.25">
      <c r="A19" s="16"/>
      <c r="B19" s="372" t="s">
        <v>115</v>
      </c>
      <c r="C19" s="373"/>
      <c r="D19" s="8"/>
      <c r="E19" s="18"/>
      <c r="F19" s="8"/>
      <c r="G19" s="18"/>
      <c r="H19" s="249" t="str">
        <f t="shared" si="1"/>
        <v/>
      </c>
      <c r="I19" s="247" t="str">
        <f t="shared" si="0"/>
        <v/>
      </c>
      <c r="J19" s="8"/>
      <c r="K19" s="368" t="str">
        <f t="shared" si="2"/>
        <v/>
      </c>
      <c r="L19" s="369"/>
    </row>
    <row r="20" spans="1:12" x14ac:dyDescent="0.25">
      <c r="A20" s="16"/>
      <c r="B20" s="372" t="s">
        <v>116</v>
      </c>
      <c r="C20" s="373"/>
      <c r="D20" s="8"/>
      <c r="E20" s="18"/>
      <c r="F20" s="8"/>
      <c r="G20" s="18"/>
      <c r="H20" s="249" t="str">
        <f t="shared" si="1"/>
        <v/>
      </c>
      <c r="I20" s="247" t="str">
        <f t="shared" si="0"/>
        <v/>
      </c>
      <c r="J20" s="8"/>
      <c r="K20" s="368" t="str">
        <f t="shared" si="2"/>
        <v/>
      </c>
      <c r="L20" s="369"/>
    </row>
    <row r="21" spans="1:12" x14ac:dyDescent="0.25">
      <c r="A21" s="16"/>
      <c r="B21" s="372" t="s">
        <v>117</v>
      </c>
      <c r="C21" s="373"/>
      <c r="D21" s="8"/>
      <c r="E21" s="18"/>
      <c r="F21" s="8"/>
      <c r="G21" s="18"/>
      <c r="H21" s="249" t="str">
        <f t="shared" si="1"/>
        <v/>
      </c>
      <c r="I21" s="247" t="str">
        <f t="shared" si="0"/>
        <v/>
      </c>
      <c r="J21" s="8"/>
      <c r="K21" s="368" t="str">
        <f t="shared" si="2"/>
        <v/>
      </c>
      <c r="L21" s="369"/>
    </row>
    <row r="22" spans="1:12" x14ac:dyDescent="0.25">
      <c r="A22" s="16"/>
      <c r="B22" s="372" t="s">
        <v>118</v>
      </c>
      <c r="C22" s="373"/>
      <c r="D22" s="8"/>
      <c r="E22" s="18"/>
      <c r="F22" s="8"/>
      <c r="G22" s="18"/>
      <c r="H22" s="249" t="str">
        <f t="shared" si="1"/>
        <v/>
      </c>
      <c r="I22" s="247" t="str">
        <f t="shared" si="0"/>
        <v/>
      </c>
      <c r="J22" s="8"/>
      <c r="K22" s="368" t="str">
        <f t="shared" si="2"/>
        <v/>
      </c>
      <c r="L22" s="369"/>
    </row>
    <row r="23" spans="1:12" x14ac:dyDescent="0.25">
      <c r="A23" s="16"/>
      <c r="B23" s="372" t="s">
        <v>119</v>
      </c>
      <c r="C23" s="373"/>
      <c r="D23" s="8"/>
      <c r="E23" s="18"/>
      <c r="F23" s="8"/>
      <c r="G23" s="18"/>
      <c r="H23" s="249" t="str">
        <f t="shared" si="1"/>
        <v/>
      </c>
      <c r="I23" s="247" t="str">
        <f t="shared" si="0"/>
        <v/>
      </c>
      <c r="J23" s="8"/>
      <c r="K23" s="368" t="str">
        <f t="shared" si="2"/>
        <v/>
      </c>
      <c r="L23" s="369"/>
    </row>
    <row r="24" spans="1:12" x14ac:dyDescent="0.25">
      <c r="A24" s="16"/>
      <c r="B24" s="372" t="s">
        <v>120</v>
      </c>
      <c r="C24" s="373"/>
      <c r="D24" s="8"/>
      <c r="E24" s="18"/>
      <c r="F24" s="8"/>
      <c r="G24" s="18"/>
      <c r="H24" s="249" t="str">
        <f t="shared" si="1"/>
        <v/>
      </c>
      <c r="I24" s="247" t="str">
        <f t="shared" si="0"/>
        <v/>
      </c>
      <c r="J24" s="8"/>
      <c r="K24" s="368" t="str">
        <f t="shared" si="2"/>
        <v/>
      </c>
      <c r="L24" s="369"/>
    </row>
    <row r="25" spans="1:12" x14ac:dyDescent="0.25">
      <c r="A25" s="16"/>
      <c r="B25" s="372" t="s">
        <v>121</v>
      </c>
      <c r="C25" s="373"/>
      <c r="D25" s="8"/>
      <c r="E25" s="18"/>
      <c r="F25" s="8"/>
      <c r="G25" s="18"/>
      <c r="H25" s="249" t="str">
        <f t="shared" si="1"/>
        <v/>
      </c>
      <c r="I25" s="247" t="str">
        <f t="shared" si="0"/>
        <v/>
      </c>
      <c r="J25" s="8"/>
      <c r="K25" s="368" t="str">
        <f t="shared" si="2"/>
        <v/>
      </c>
      <c r="L25" s="369"/>
    </row>
    <row r="26" spans="1:12" x14ac:dyDescent="0.25">
      <c r="A26" s="16"/>
      <c r="B26" s="372" t="s">
        <v>122</v>
      </c>
      <c r="C26" s="373"/>
      <c r="D26" s="8"/>
      <c r="E26" s="18"/>
      <c r="F26" s="8"/>
      <c r="G26" s="18"/>
      <c r="H26" s="249" t="str">
        <f t="shared" si="1"/>
        <v/>
      </c>
      <c r="I26" s="247" t="str">
        <f t="shared" si="0"/>
        <v/>
      </c>
      <c r="J26" s="8"/>
      <c r="K26" s="368" t="str">
        <f t="shared" si="2"/>
        <v/>
      </c>
      <c r="L26" s="369"/>
    </row>
    <row r="27" spans="1:12" x14ac:dyDescent="0.25">
      <c r="A27" s="16"/>
      <c r="B27" s="372" t="s">
        <v>123</v>
      </c>
      <c r="C27" s="373"/>
      <c r="D27" s="8"/>
      <c r="E27" s="18"/>
      <c r="F27" s="8"/>
      <c r="G27" s="18"/>
      <c r="H27" s="249" t="str">
        <f t="shared" si="1"/>
        <v/>
      </c>
      <c r="I27" s="247" t="str">
        <f t="shared" si="0"/>
        <v/>
      </c>
      <c r="J27" s="8"/>
      <c r="K27" s="368" t="str">
        <f t="shared" si="2"/>
        <v/>
      </c>
      <c r="L27" s="369"/>
    </row>
    <row r="28" spans="1:12" x14ac:dyDescent="0.25">
      <c r="A28" s="16"/>
      <c r="B28" s="372" t="s">
        <v>124</v>
      </c>
      <c r="C28" s="373"/>
      <c r="D28" s="8"/>
      <c r="E28" s="18"/>
      <c r="F28" s="8"/>
      <c r="G28" s="18"/>
      <c r="H28" s="249" t="str">
        <f t="shared" si="1"/>
        <v/>
      </c>
      <c r="I28" s="247" t="str">
        <f t="shared" si="0"/>
        <v/>
      </c>
      <c r="J28" s="8"/>
      <c r="K28" s="368" t="str">
        <f t="shared" si="2"/>
        <v/>
      </c>
      <c r="L28" s="369"/>
    </row>
    <row r="29" spans="1:12" x14ac:dyDescent="0.25">
      <c r="A29" s="16"/>
      <c r="B29" s="372" t="s">
        <v>125</v>
      </c>
      <c r="C29" s="373"/>
      <c r="D29" s="8"/>
      <c r="E29" s="18"/>
      <c r="F29" s="8"/>
      <c r="G29" s="18"/>
      <c r="H29" s="249" t="str">
        <f t="shared" si="1"/>
        <v/>
      </c>
      <c r="I29" s="247" t="str">
        <f t="shared" si="0"/>
        <v/>
      </c>
      <c r="J29" s="8"/>
      <c r="K29" s="368" t="str">
        <f t="shared" si="2"/>
        <v/>
      </c>
      <c r="L29" s="369"/>
    </row>
    <row r="30" spans="1:12" x14ac:dyDescent="0.25">
      <c r="A30" s="16"/>
      <c r="B30" s="372" t="s">
        <v>126</v>
      </c>
      <c r="C30" s="373"/>
      <c r="D30" s="8"/>
      <c r="E30" s="18"/>
      <c r="F30" s="8"/>
      <c r="G30" s="18"/>
      <c r="H30" s="249" t="str">
        <f t="shared" si="1"/>
        <v/>
      </c>
      <c r="I30" s="247" t="str">
        <f t="shared" si="0"/>
        <v/>
      </c>
      <c r="J30" s="8"/>
      <c r="K30" s="368" t="str">
        <f t="shared" si="2"/>
        <v/>
      </c>
      <c r="L30" s="369"/>
    </row>
    <row r="31" spans="1:12" x14ac:dyDescent="0.25">
      <c r="A31" s="16"/>
      <c r="B31" s="372" t="s">
        <v>127</v>
      </c>
      <c r="C31" s="373"/>
      <c r="D31" s="8"/>
      <c r="E31" s="18"/>
      <c r="F31" s="8"/>
      <c r="G31" s="18"/>
      <c r="H31" s="249" t="str">
        <f t="shared" si="1"/>
        <v/>
      </c>
      <c r="I31" s="247" t="str">
        <f t="shared" si="0"/>
        <v/>
      </c>
      <c r="J31" s="8"/>
      <c r="K31" s="368" t="str">
        <f t="shared" si="2"/>
        <v/>
      </c>
      <c r="L31" s="369"/>
    </row>
    <row r="32" spans="1:12" x14ac:dyDescent="0.25">
      <c r="A32" s="16"/>
      <c r="B32" s="372" t="s">
        <v>128</v>
      </c>
      <c r="C32" s="373"/>
      <c r="D32" s="8"/>
      <c r="E32" s="18"/>
      <c r="F32" s="8"/>
      <c r="G32" s="18"/>
      <c r="H32" s="249" t="str">
        <f t="shared" si="1"/>
        <v/>
      </c>
      <c r="I32" s="247" t="str">
        <f t="shared" si="0"/>
        <v/>
      </c>
      <c r="J32" s="8"/>
      <c r="K32" s="368" t="str">
        <f t="shared" si="2"/>
        <v/>
      </c>
      <c r="L32" s="369"/>
    </row>
    <row r="33" spans="1:12" x14ac:dyDescent="0.25">
      <c r="A33" s="16"/>
      <c r="B33" s="372" t="s">
        <v>129</v>
      </c>
      <c r="C33" s="373"/>
      <c r="D33" s="8"/>
      <c r="E33" s="18"/>
      <c r="F33" s="8"/>
      <c r="G33" s="18"/>
      <c r="H33" s="249" t="str">
        <f t="shared" si="1"/>
        <v/>
      </c>
      <c r="I33" s="247" t="str">
        <f t="shared" si="0"/>
        <v/>
      </c>
      <c r="J33" s="8"/>
      <c r="K33" s="368" t="str">
        <f t="shared" si="2"/>
        <v/>
      </c>
      <c r="L33" s="369"/>
    </row>
    <row r="34" spans="1:12" x14ac:dyDescent="0.25">
      <c r="A34" s="16"/>
      <c r="B34" s="372" t="s">
        <v>130</v>
      </c>
      <c r="C34" s="373"/>
      <c r="D34" s="8"/>
      <c r="E34" s="18"/>
      <c r="F34" s="8"/>
      <c r="G34" s="18"/>
      <c r="H34" s="249" t="str">
        <f t="shared" si="1"/>
        <v/>
      </c>
      <c r="I34" s="247" t="str">
        <f t="shared" si="0"/>
        <v/>
      </c>
      <c r="J34" s="8"/>
      <c r="K34" s="368" t="str">
        <f t="shared" si="2"/>
        <v/>
      </c>
      <c r="L34" s="369"/>
    </row>
    <row r="35" spans="1:12" x14ac:dyDescent="0.25">
      <c r="A35" s="16"/>
      <c r="B35" s="372" t="s">
        <v>131</v>
      </c>
      <c r="C35" s="373"/>
      <c r="D35" s="8"/>
      <c r="E35" s="18"/>
      <c r="F35" s="8"/>
      <c r="G35" s="18"/>
      <c r="H35" s="249" t="str">
        <f t="shared" si="1"/>
        <v/>
      </c>
      <c r="I35" s="247" t="str">
        <f t="shared" si="0"/>
        <v/>
      </c>
      <c r="J35" s="8"/>
      <c r="K35" s="368" t="str">
        <f t="shared" si="2"/>
        <v/>
      </c>
      <c r="L35" s="369"/>
    </row>
    <row r="36" spans="1:12" x14ac:dyDescent="0.25">
      <c r="A36" s="16"/>
      <c r="B36" s="372" t="s">
        <v>132</v>
      </c>
      <c r="C36" s="373"/>
      <c r="D36" s="8"/>
      <c r="E36" s="18"/>
      <c r="F36" s="8"/>
      <c r="G36" s="18"/>
      <c r="H36" s="249" t="str">
        <f t="shared" si="1"/>
        <v/>
      </c>
      <c r="I36" s="247" t="str">
        <f t="shared" si="0"/>
        <v/>
      </c>
      <c r="J36" s="8"/>
      <c r="K36" s="368" t="str">
        <f t="shared" si="2"/>
        <v/>
      </c>
      <c r="L36" s="369"/>
    </row>
    <row r="37" spans="1:12" ht="15.6" x14ac:dyDescent="0.25">
      <c r="A37" s="428" t="s">
        <v>133</v>
      </c>
      <c r="B37" s="428"/>
      <c r="C37" s="428"/>
      <c r="D37" s="428"/>
      <c r="E37" s="428"/>
      <c r="F37" s="428"/>
      <c r="G37" s="428"/>
      <c r="H37" s="428"/>
      <c r="I37" s="428"/>
      <c r="J37" s="429"/>
      <c r="K37" s="364">
        <f>SUM(K17:L36)</f>
        <v>0</v>
      </c>
      <c r="L37" s="365"/>
    </row>
    <row r="38" spans="1:12" ht="15.6" x14ac:dyDescent="0.25">
      <c r="B38" s="66" t="s">
        <v>134</v>
      </c>
      <c r="C38" s="66"/>
      <c r="D38" s="66"/>
      <c r="F38" s="16"/>
      <c r="G38" s="437"/>
      <c r="H38" s="437"/>
      <c r="I38" s="71"/>
      <c r="J38" s="72"/>
      <c r="K38" s="73"/>
      <c r="L38" s="10"/>
    </row>
    <row r="39" spans="1:12" ht="53.4" customHeight="1" x14ac:dyDescent="0.25">
      <c r="B39" s="436" t="s">
        <v>135</v>
      </c>
      <c r="C39" s="438" t="s">
        <v>136</v>
      </c>
      <c r="D39" s="162" t="s">
        <v>137</v>
      </c>
      <c r="E39" s="162" t="s">
        <v>138</v>
      </c>
      <c r="F39" s="162" t="s">
        <v>139</v>
      </c>
      <c r="G39" s="236" t="s">
        <v>140</v>
      </c>
      <c r="H39" s="162" t="s">
        <v>141</v>
      </c>
      <c r="I39" s="345" t="s">
        <v>142</v>
      </c>
      <c r="J39" s="346"/>
      <c r="K39" s="430" t="s">
        <v>143</v>
      </c>
      <c r="L39" s="431"/>
    </row>
    <row r="40" spans="1:12" s="74" customFormat="1" ht="12.6" x14ac:dyDescent="0.2">
      <c r="B40" s="436"/>
      <c r="C40" s="439"/>
      <c r="D40" s="164" t="s">
        <v>144</v>
      </c>
      <c r="E40" s="164" t="s">
        <v>145</v>
      </c>
      <c r="F40" s="164" t="s">
        <v>110</v>
      </c>
      <c r="G40" s="164" t="s">
        <v>109</v>
      </c>
      <c r="H40" s="164" t="s">
        <v>146</v>
      </c>
      <c r="I40" s="347" t="s">
        <v>111</v>
      </c>
      <c r="J40" s="348"/>
      <c r="K40" s="432" t="s">
        <v>112</v>
      </c>
      <c r="L40" s="433"/>
    </row>
    <row r="41" spans="1:12" s="252" customFormat="1" ht="7.8" x14ac:dyDescent="0.15">
      <c r="B41" s="253">
        <v>1</v>
      </c>
      <c r="C41" s="254">
        <v>2</v>
      </c>
      <c r="D41" s="255">
        <v>3</v>
      </c>
      <c r="E41" s="250">
        <v>4</v>
      </c>
      <c r="F41" s="260">
        <v>5</v>
      </c>
      <c r="G41" s="85">
        <v>6</v>
      </c>
      <c r="H41" s="250">
        <v>7</v>
      </c>
      <c r="I41" s="329">
        <v>8</v>
      </c>
      <c r="J41" s="330"/>
      <c r="K41" s="434">
        <v>9</v>
      </c>
      <c r="L41" s="435"/>
    </row>
    <row r="42" spans="1:12" x14ac:dyDescent="0.25">
      <c r="B42" s="418">
        <v>1</v>
      </c>
      <c r="C42" s="19" t="s">
        <v>147</v>
      </c>
      <c r="D42" s="273">
        <f>J12</f>
        <v>0</v>
      </c>
      <c r="E42" s="195"/>
      <c r="F42" s="264">
        <f>J10*24</f>
        <v>0</v>
      </c>
      <c r="G42" s="265" t="str">
        <f>IFERROR(D42*E42*F42/$F$42*0.336,"")</f>
        <v/>
      </c>
      <c r="H42" s="93">
        <v>0</v>
      </c>
      <c r="I42" s="372">
        <f>J8-J9</f>
        <v>0</v>
      </c>
      <c r="J42" s="352"/>
      <c r="K42" s="377" t="str">
        <f>IFERROR(G42*$F$42*I42/1000,"")</f>
        <v/>
      </c>
      <c r="L42" s="369"/>
    </row>
    <row r="43" spans="1:12" x14ac:dyDescent="0.25">
      <c r="B43" s="419"/>
      <c r="C43" s="19" t="s">
        <v>148</v>
      </c>
      <c r="D43" s="262">
        <f>D42</f>
        <v>0</v>
      </c>
      <c r="E43" s="195"/>
      <c r="F43" s="263"/>
      <c r="G43" s="265" t="str">
        <f>IFERROR(D43*E43*F43/$F$42*0.336,"")</f>
        <v/>
      </c>
      <c r="H43" s="88"/>
      <c r="I43" s="372">
        <f>IFERROR(I42-I42*H43/100,"")</f>
        <v>0</v>
      </c>
      <c r="J43" s="373"/>
      <c r="K43" s="377" t="str">
        <f>IFERROR(G43*$F$42*I43/1000,"")</f>
        <v/>
      </c>
      <c r="L43" s="369"/>
    </row>
    <row r="44" spans="1:12" x14ac:dyDescent="0.25">
      <c r="B44" s="420"/>
      <c r="C44" s="19" t="s">
        <v>149</v>
      </c>
      <c r="D44" s="262">
        <f>D42</f>
        <v>0</v>
      </c>
      <c r="E44" s="179">
        <v>0.3</v>
      </c>
      <c r="F44" s="264">
        <f>F42</f>
        <v>0</v>
      </c>
      <c r="G44" s="265" t="str">
        <f>IFERROR(D44*E44*F44/$F$42*0.336,"")</f>
        <v/>
      </c>
      <c r="H44" s="93">
        <v>0</v>
      </c>
      <c r="I44" s="372">
        <f>I42</f>
        <v>0</v>
      </c>
      <c r="J44" s="352"/>
      <c r="K44" s="377" t="str">
        <f>IFERROR(G44*$F$42*I44/1000,"")</f>
        <v/>
      </c>
      <c r="L44" s="369"/>
    </row>
    <row r="45" spans="1:12" x14ac:dyDescent="0.25">
      <c r="B45" s="418">
        <v>2</v>
      </c>
      <c r="C45" s="19" t="s">
        <v>147</v>
      </c>
      <c r="D45" s="273">
        <f>K12</f>
        <v>0</v>
      </c>
      <c r="E45" s="195"/>
      <c r="F45" s="264">
        <f>K10*24</f>
        <v>0</v>
      </c>
      <c r="G45" s="265" t="str">
        <f>IFERROR(D45*E45*F45/$F$45*0.336,"")</f>
        <v/>
      </c>
      <c r="H45" s="93">
        <v>0</v>
      </c>
      <c r="I45" s="372">
        <f>K8-K9</f>
        <v>0</v>
      </c>
      <c r="J45" s="352"/>
      <c r="K45" s="377" t="str">
        <f>IFERROR(G45*$F$45*I45/1000,"")</f>
        <v/>
      </c>
      <c r="L45" s="369"/>
    </row>
    <row r="46" spans="1:12" x14ac:dyDescent="0.25">
      <c r="B46" s="419"/>
      <c r="C46" s="19" t="s">
        <v>148</v>
      </c>
      <c r="D46" s="262">
        <f>D45</f>
        <v>0</v>
      </c>
      <c r="E46" s="195"/>
      <c r="F46" s="263"/>
      <c r="G46" s="265" t="str">
        <f t="shared" ref="G46:G47" si="3">IFERROR(D46*E46*F46/$F$45*0.336,"")</f>
        <v/>
      </c>
      <c r="H46" s="88"/>
      <c r="I46" s="372">
        <f>IFERROR(I45-I45*H46/100,"")</f>
        <v>0</v>
      </c>
      <c r="J46" s="373"/>
      <c r="K46" s="377" t="str">
        <f t="shared" ref="K46:K47" si="4">IFERROR(G46*$F$45*I46/1000,"")</f>
        <v/>
      </c>
      <c r="L46" s="369"/>
    </row>
    <row r="47" spans="1:12" x14ac:dyDescent="0.25">
      <c r="B47" s="420"/>
      <c r="C47" s="19" t="s">
        <v>149</v>
      </c>
      <c r="D47" s="262">
        <f>D45</f>
        <v>0</v>
      </c>
      <c r="E47" s="179">
        <v>0.3</v>
      </c>
      <c r="F47" s="264">
        <f>F45</f>
        <v>0</v>
      </c>
      <c r="G47" s="265" t="str">
        <f t="shared" si="3"/>
        <v/>
      </c>
      <c r="H47" s="93">
        <v>0</v>
      </c>
      <c r="I47" s="372">
        <f>I45</f>
        <v>0</v>
      </c>
      <c r="J47" s="352"/>
      <c r="K47" s="377" t="str">
        <f t="shared" si="4"/>
        <v/>
      </c>
      <c r="L47" s="369"/>
    </row>
    <row r="48" spans="1:12" ht="15.6" customHeight="1" x14ac:dyDescent="0.25">
      <c r="A48" s="259"/>
      <c r="B48" s="376" t="s">
        <v>150</v>
      </c>
      <c r="C48" s="376"/>
      <c r="D48" s="376"/>
      <c r="E48" s="376"/>
      <c r="F48" s="376"/>
      <c r="G48" s="366" t="s">
        <v>151</v>
      </c>
      <c r="H48" s="366"/>
      <c r="I48" s="366"/>
      <c r="J48" s="367"/>
      <c r="K48" s="364">
        <f>SUM(K42:L47)</f>
        <v>0</v>
      </c>
      <c r="L48" s="365"/>
    </row>
    <row r="49" spans="1:12" ht="4.2" customHeight="1" x14ac:dyDescent="0.25">
      <c r="A49" s="65"/>
      <c r="B49" s="66"/>
      <c r="C49" s="67"/>
      <c r="D49" s="67"/>
      <c r="E49" s="67"/>
      <c r="F49" s="10"/>
      <c r="G49" s="68"/>
      <c r="H49" s="68"/>
      <c r="I49" s="69"/>
      <c r="J49" s="68"/>
      <c r="K49" s="70"/>
      <c r="L49" s="69"/>
    </row>
    <row r="50" spans="1:12" ht="15.6" x14ac:dyDescent="0.25">
      <c r="B50" s="382" t="s">
        <v>152</v>
      </c>
      <c r="C50" s="382"/>
      <c r="D50" s="382"/>
      <c r="E50" s="382"/>
      <c r="F50" s="382"/>
      <c r="G50" s="382"/>
      <c r="H50" s="382"/>
      <c r="I50" s="382"/>
      <c r="J50" s="382"/>
      <c r="K50" s="382"/>
      <c r="L50" s="382"/>
    </row>
    <row r="51" spans="1:12" ht="24" customHeight="1" x14ac:dyDescent="0.25">
      <c r="B51" s="383" t="s">
        <v>153</v>
      </c>
      <c r="C51" s="354" t="s">
        <v>154</v>
      </c>
      <c r="D51" s="333" t="s">
        <v>155</v>
      </c>
      <c r="E51" s="334"/>
      <c r="F51" s="378" t="s">
        <v>156</v>
      </c>
      <c r="G51" s="378" t="s">
        <v>157</v>
      </c>
      <c r="H51" s="378" t="s">
        <v>158</v>
      </c>
      <c r="I51" s="378"/>
      <c r="J51" s="387" t="s">
        <v>159</v>
      </c>
      <c r="K51" s="387"/>
      <c r="L51" s="387"/>
    </row>
    <row r="52" spans="1:12" x14ac:dyDescent="0.25">
      <c r="B52" s="383"/>
      <c r="C52" s="354"/>
      <c r="D52" s="335" t="s">
        <v>160</v>
      </c>
      <c r="E52" s="336"/>
      <c r="F52" s="378"/>
      <c r="G52" s="378"/>
      <c r="H52" s="379" t="s">
        <v>161</v>
      </c>
      <c r="I52" s="379"/>
      <c r="J52" s="381" t="s">
        <v>112</v>
      </c>
      <c r="K52" s="381"/>
      <c r="L52" s="381"/>
    </row>
    <row r="53" spans="1:12" s="252" customFormat="1" ht="7.8" x14ac:dyDescent="0.15">
      <c r="B53" s="256">
        <v>1</v>
      </c>
      <c r="C53" s="250">
        <v>2</v>
      </c>
      <c r="D53" s="374">
        <v>3</v>
      </c>
      <c r="E53" s="375"/>
      <c r="F53" s="257">
        <v>4</v>
      </c>
      <c r="G53" s="258">
        <v>5</v>
      </c>
      <c r="H53" s="329">
        <v>6</v>
      </c>
      <c r="I53" s="330"/>
      <c r="J53" s="326">
        <v>7</v>
      </c>
      <c r="K53" s="327"/>
      <c r="L53" s="328"/>
    </row>
    <row r="54" spans="1:12" ht="14.4" customHeight="1" x14ac:dyDescent="0.25">
      <c r="A54" s="16"/>
      <c r="B54" s="60" t="s">
        <v>162</v>
      </c>
      <c r="C54" s="77" t="s">
        <v>163</v>
      </c>
      <c r="D54" s="337" t="str">
        <f>IF(F29="","",(#REF!+D55+D56+D57+D58)/(F29+F30+F31+F32))</f>
        <v/>
      </c>
      <c r="E54" s="338"/>
      <c r="F54" s="75"/>
      <c r="G54" s="18"/>
      <c r="H54" s="331"/>
      <c r="I54" s="332"/>
      <c r="J54" s="380" t="str">
        <f>IFERROR(D54*F54*G54*H54,"")</f>
        <v/>
      </c>
      <c r="K54" s="380"/>
      <c r="L54" s="380"/>
    </row>
    <row r="55" spans="1:12" x14ac:dyDescent="0.25">
      <c r="A55" s="16"/>
      <c r="B55" s="60" t="s">
        <v>164</v>
      </c>
      <c r="C55" s="77" t="s">
        <v>165</v>
      </c>
      <c r="D55" s="337" t="str">
        <f>IF(F30="","",(#REF!+D56+D57+D58+D59)/(F30+F31+F32+F33))</f>
        <v/>
      </c>
      <c r="E55" s="338"/>
      <c r="F55" s="75"/>
      <c r="G55" s="18"/>
      <c r="H55" s="331"/>
      <c r="I55" s="332"/>
      <c r="J55" s="380" t="str">
        <f t="shared" ref="J55:J58" si="5">IFERROR(D55*F55*G55*H55,"")</f>
        <v/>
      </c>
      <c r="K55" s="380"/>
      <c r="L55" s="380"/>
    </row>
    <row r="56" spans="1:12" x14ac:dyDescent="0.25">
      <c r="A56" s="16"/>
      <c r="B56" s="60" t="s">
        <v>166</v>
      </c>
      <c r="C56" s="77" t="s">
        <v>167</v>
      </c>
      <c r="D56" s="337" t="str">
        <f>IF(F31="","",(#REF!+D57+D58+D59+D60)/(F31+F32+F33+F34))</f>
        <v/>
      </c>
      <c r="E56" s="338"/>
      <c r="F56" s="75"/>
      <c r="G56" s="18"/>
      <c r="H56" s="331"/>
      <c r="I56" s="332"/>
      <c r="J56" s="380" t="str">
        <f t="shared" si="5"/>
        <v/>
      </c>
      <c r="K56" s="380"/>
      <c r="L56" s="380"/>
    </row>
    <row r="57" spans="1:12" x14ac:dyDescent="0.25">
      <c r="A57" s="16"/>
      <c r="B57" s="60" t="s">
        <v>168</v>
      </c>
      <c r="C57" s="77" t="s">
        <v>169</v>
      </c>
      <c r="D57" s="337" t="str">
        <f>IF(F32="","",(#REF!+D58+D59+D60+D61)/(F32+F33+F34+F35))</f>
        <v/>
      </c>
      <c r="E57" s="338"/>
      <c r="F57" s="75"/>
      <c r="G57" s="18"/>
      <c r="H57" s="331"/>
      <c r="I57" s="332"/>
      <c r="J57" s="380" t="str">
        <f t="shared" si="5"/>
        <v/>
      </c>
      <c r="K57" s="380"/>
      <c r="L57" s="380"/>
    </row>
    <row r="58" spans="1:12" x14ac:dyDescent="0.25">
      <c r="A58" s="16"/>
      <c r="B58" s="60" t="s">
        <v>170</v>
      </c>
      <c r="C58" s="77" t="s">
        <v>171</v>
      </c>
      <c r="D58" s="337" t="str">
        <f>IF(F33="","",(#REF!+D59+D60+D61+D62)/(F33+F34+F35+F36))</f>
        <v/>
      </c>
      <c r="E58" s="338"/>
      <c r="F58" s="78"/>
      <c r="G58" s="76"/>
      <c r="H58" s="331"/>
      <c r="I58" s="332"/>
      <c r="J58" s="380" t="str">
        <f t="shared" si="5"/>
        <v/>
      </c>
      <c r="K58" s="380"/>
      <c r="L58" s="380"/>
    </row>
    <row r="59" spans="1:12" ht="13.95" customHeight="1" x14ac:dyDescent="0.25">
      <c r="A59" s="16"/>
      <c r="B59" s="60" t="s">
        <v>172</v>
      </c>
      <c r="C59" s="384" t="s">
        <v>173</v>
      </c>
      <c r="D59" s="385"/>
      <c r="E59" s="385"/>
      <c r="F59" s="385"/>
      <c r="G59" s="385"/>
      <c r="H59" s="385"/>
      <c r="I59" s="386"/>
      <c r="J59" s="426"/>
      <c r="K59" s="426"/>
      <c r="L59" s="426"/>
    </row>
    <row r="60" spans="1:12" ht="15.6" x14ac:dyDescent="0.25">
      <c r="A60" s="421" t="s">
        <v>174</v>
      </c>
      <c r="B60" s="421"/>
      <c r="C60" s="421"/>
      <c r="D60" s="421"/>
      <c r="E60" s="421"/>
      <c r="F60" s="421"/>
      <c r="G60" s="421"/>
      <c r="H60" s="421"/>
      <c r="I60" s="421"/>
      <c r="J60" s="422">
        <f>SUM(J54:L59)</f>
        <v>0</v>
      </c>
      <c r="K60" s="422"/>
      <c r="L60" s="422"/>
    </row>
    <row r="61" spans="1:12" ht="15.6" x14ac:dyDescent="0.25">
      <c r="A61" s="59"/>
      <c r="B61" s="382" t="s">
        <v>175</v>
      </c>
      <c r="C61" s="382"/>
      <c r="D61" s="382"/>
      <c r="E61" s="382"/>
      <c r="F61" s="382"/>
      <c r="G61" s="382"/>
      <c r="H61" s="382"/>
      <c r="I61" s="382"/>
      <c r="J61" s="382"/>
      <c r="K61" s="382"/>
      <c r="L61" s="382"/>
    </row>
    <row r="62" spans="1:12" ht="13.95" customHeight="1" x14ac:dyDescent="0.25">
      <c r="B62" s="349" t="s">
        <v>176</v>
      </c>
      <c r="C62" s="345" t="s">
        <v>177</v>
      </c>
      <c r="D62" s="346"/>
      <c r="E62" s="378" t="s">
        <v>178</v>
      </c>
      <c r="F62" s="378"/>
      <c r="G62" s="378"/>
      <c r="H62" s="378" t="s">
        <v>179</v>
      </c>
      <c r="I62" s="378"/>
      <c r="J62" s="425" t="s">
        <v>180</v>
      </c>
      <c r="K62" s="425"/>
      <c r="L62" s="425"/>
    </row>
    <row r="63" spans="1:12" s="74" customFormat="1" ht="12.6" x14ac:dyDescent="0.2">
      <c r="A63" s="79"/>
      <c r="B63" s="350"/>
      <c r="C63" s="347" t="s">
        <v>181</v>
      </c>
      <c r="D63" s="348"/>
      <c r="E63" s="424" t="s">
        <v>182</v>
      </c>
      <c r="F63" s="424"/>
      <c r="G63" s="424"/>
      <c r="H63" s="379" t="s">
        <v>93</v>
      </c>
      <c r="I63" s="379"/>
      <c r="J63" s="423" t="s">
        <v>112</v>
      </c>
      <c r="K63" s="423"/>
      <c r="L63" s="423"/>
    </row>
    <row r="64" spans="1:12" s="252" customFormat="1" ht="8.4" customHeight="1" x14ac:dyDescent="0.15">
      <c r="A64" s="261"/>
      <c r="B64" s="250">
        <v>1</v>
      </c>
      <c r="C64" s="329">
        <v>2</v>
      </c>
      <c r="D64" s="330"/>
      <c r="E64" s="427">
        <v>3</v>
      </c>
      <c r="F64" s="427"/>
      <c r="G64" s="427"/>
      <c r="H64" s="400">
        <v>4</v>
      </c>
      <c r="I64" s="400"/>
      <c r="J64" s="353">
        <v>5</v>
      </c>
      <c r="K64" s="353"/>
      <c r="L64" s="353"/>
    </row>
    <row r="65" spans="1:12" s="80" customFormat="1" ht="13.2" x14ac:dyDescent="0.25">
      <c r="A65" s="277"/>
      <c r="B65" s="278">
        <v>1</v>
      </c>
      <c r="C65" s="351">
        <f>J10*24</f>
        <v>0</v>
      </c>
      <c r="D65" s="352"/>
      <c r="E65" s="339"/>
      <c r="F65" s="340"/>
      <c r="G65" s="341"/>
      <c r="H65" s="342" t="str">
        <f>IF(J11="","",J11)</f>
        <v/>
      </c>
      <c r="I65" s="343"/>
      <c r="J65" s="344" t="str">
        <f>IFERROR(C65*E65*H65/1000,"")</f>
        <v/>
      </c>
      <c r="K65" s="344"/>
      <c r="L65" s="344"/>
    </row>
    <row r="66" spans="1:12" s="80" customFormat="1" ht="13.2" x14ac:dyDescent="0.25">
      <c r="A66" s="277"/>
      <c r="B66" s="278">
        <v>2</v>
      </c>
      <c r="C66" s="351">
        <f>K10*24</f>
        <v>0</v>
      </c>
      <c r="D66" s="352"/>
      <c r="E66" s="339"/>
      <c r="F66" s="340"/>
      <c r="G66" s="341"/>
      <c r="H66" s="342" t="str">
        <f>IF(K11="","",K11)</f>
        <v/>
      </c>
      <c r="I66" s="343"/>
      <c r="J66" s="344">
        <f>IFERROR(C66*E66*H66/1000,0)</f>
        <v>0</v>
      </c>
      <c r="K66" s="344"/>
      <c r="L66" s="344"/>
    </row>
    <row r="67" spans="1:12" s="81" customFormat="1" ht="15.6" x14ac:dyDescent="0.3">
      <c r="A67" s="66"/>
      <c r="B67" s="404" t="s">
        <v>183</v>
      </c>
      <c r="C67" s="405"/>
      <c r="D67" s="405"/>
      <c r="E67" s="406"/>
      <c r="F67" s="406"/>
      <c r="G67" s="406"/>
      <c r="H67" s="405"/>
      <c r="I67" s="407"/>
      <c r="J67" s="415"/>
      <c r="K67" s="416"/>
      <c r="L67" s="417"/>
    </row>
    <row r="68" spans="1:12" ht="4.95" customHeight="1" x14ac:dyDescent="0.25">
      <c r="A68" s="65"/>
      <c r="B68" s="66"/>
      <c r="C68" s="67"/>
      <c r="D68" s="67"/>
      <c r="E68" s="67"/>
      <c r="F68" s="10"/>
      <c r="G68" s="68"/>
      <c r="H68" s="68"/>
      <c r="I68" s="69" t="s">
        <v>184</v>
      </c>
      <c r="J68" s="68"/>
      <c r="K68" s="70"/>
      <c r="L68" s="69"/>
    </row>
    <row r="69" spans="1:12" x14ac:dyDescent="0.25">
      <c r="A69" s="16"/>
      <c r="B69" s="59"/>
      <c r="C69" s="59"/>
      <c r="D69" s="59"/>
      <c r="E69" s="59"/>
      <c r="F69" s="59"/>
      <c r="G69" s="59"/>
      <c r="H69" s="408" t="s">
        <v>185</v>
      </c>
      <c r="I69" s="408"/>
      <c r="J69" s="409" t="s">
        <v>112</v>
      </c>
      <c r="K69" s="409"/>
      <c r="L69" s="409"/>
    </row>
    <row r="70" spans="1:12" s="82" customFormat="1" ht="18" x14ac:dyDescent="0.35">
      <c r="A70" s="65"/>
      <c r="B70" s="160" t="s">
        <v>186</v>
      </c>
      <c r="C70" s="412" t="s">
        <v>187</v>
      </c>
      <c r="D70" s="413"/>
      <c r="E70" s="413"/>
      <c r="F70" s="413"/>
      <c r="G70" s="414"/>
      <c r="H70" s="411" t="str">
        <f>IFERROR(J70/(J11+K11),"")</f>
        <v/>
      </c>
      <c r="I70" s="411"/>
      <c r="J70" s="410" t="str">
        <f>IFERROR(K37+K48-(J60+J65+J66)*J67,"")</f>
        <v/>
      </c>
      <c r="K70" s="410"/>
      <c r="L70" s="410"/>
    </row>
  </sheetData>
  <sheetProtection formatCells="0" formatColumns="0" formatRows="0" insertColumns="0" insertRows="0" deleteColumns="0" deleteRows="0" selectLockedCells="1" selectUnlockedCells="1"/>
  <mergeCells count="154">
    <mergeCell ref="A37:J37"/>
    <mergeCell ref="I39:J39"/>
    <mergeCell ref="I40:J40"/>
    <mergeCell ref="K39:L39"/>
    <mergeCell ref="K40:L40"/>
    <mergeCell ref="I41:J41"/>
    <mergeCell ref="K41:L41"/>
    <mergeCell ref="K42:L42"/>
    <mergeCell ref="K43:L43"/>
    <mergeCell ref="B39:B40"/>
    <mergeCell ref="G38:H38"/>
    <mergeCell ref="C39:C40"/>
    <mergeCell ref="B67:I67"/>
    <mergeCell ref="H69:I69"/>
    <mergeCell ref="J69:L69"/>
    <mergeCell ref="J70:L70"/>
    <mergeCell ref="H70:I70"/>
    <mergeCell ref="C70:G70"/>
    <mergeCell ref="J67:L67"/>
    <mergeCell ref="B42:B44"/>
    <mergeCell ref="B45:B47"/>
    <mergeCell ref="J65:L65"/>
    <mergeCell ref="A60:I60"/>
    <mergeCell ref="J60:L60"/>
    <mergeCell ref="J63:L63"/>
    <mergeCell ref="E63:G63"/>
    <mergeCell ref="H63:I63"/>
    <mergeCell ref="H65:I65"/>
    <mergeCell ref="B61:L61"/>
    <mergeCell ref="E62:G62"/>
    <mergeCell ref="H62:I62"/>
    <mergeCell ref="J62:L62"/>
    <mergeCell ref="J59:L59"/>
    <mergeCell ref="E65:G65"/>
    <mergeCell ref="E64:G64"/>
    <mergeCell ref="H64:I64"/>
    <mergeCell ref="A1:L1"/>
    <mergeCell ref="E11:F11"/>
    <mergeCell ref="D8:F8"/>
    <mergeCell ref="H10:I10"/>
    <mergeCell ref="B13:L13"/>
    <mergeCell ref="E12:F12"/>
    <mergeCell ref="A2:L2"/>
    <mergeCell ref="C12:D12"/>
    <mergeCell ref="K24:L24"/>
    <mergeCell ref="C5:C6"/>
    <mergeCell ref="K16:L16"/>
    <mergeCell ref="K15:L15"/>
    <mergeCell ref="D9:E9"/>
    <mergeCell ref="D10:E10"/>
    <mergeCell ref="C59:I59"/>
    <mergeCell ref="G51:G52"/>
    <mergeCell ref="F51:F52"/>
    <mergeCell ref="J51:L51"/>
    <mergeCell ref="B14:C15"/>
    <mergeCell ref="B17:C17"/>
    <mergeCell ref="B18:C18"/>
    <mergeCell ref="B19:C19"/>
    <mergeCell ref="B20:C20"/>
    <mergeCell ref="B21:C21"/>
    <mergeCell ref="B22:C22"/>
    <mergeCell ref="B23:C23"/>
    <mergeCell ref="B24:C24"/>
    <mergeCell ref="B16:C16"/>
    <mergeCell ref="B35:C35"/>
    <mergeCell ref="B36:C36"/>
    <mergeCell ref="B25:C25"/>
    <mergeCell ref="B26:C26"/>
    <mergeCell ref="B27:C27"/>
    <mergeCell ref="B28:C28"/>
    <mergeCell ref="B29:C29"/>
    <mergeCell ref="B30:C30"/>
    <mergeCell ref="B31:C31"/>
    <mergeCell ref="K37:L37"/>
    <mergeCell ref="B32:C32"/>
    <mergeCell ref="B33:C33"/>
    <mergeCell ref="K17:L17"/>
    <mergeCell ref="K18:L18"/>
    <mergeCell ref="K19:L19"/>
    <mergeCell ref="K20:L20"/>
    <mergeCell ref="K21:L21"/>
    <mergeCell ref="K22:L22"/>
    <mergeCell ref="K23:L23"/>
    <mergeCell ref="B34:C34"/>
    <mergeCell ref="D58:E58"/>
    <mergeCell ref="D53:E53"/>
    <mergeCell ref="B48:F48"/>
    <mergeCell ref="K44:L44"/>
    <mergeCell ref="K45:L45"/>
    <mergeCell ref="K46:L46"/>
    <mergeCell ref="K47:L47"/>
    <mergeCell ref="I42:J42"/>
    <mergeCell ref="I43:J43"/>
    <mergeCell ref="I44:J44"/>
    <mergeCell ref="I45:J45"/>
    <mergeCell ref="I46:J46"/>
    <mergeCell ref="I47:J47"/>
    <mergeCell ref="H51:I51"/>
    <mergeCell ref="H52:I52"/>
    <mergeCell ref="J58:L58"/>
    <mergeCell ref="J54:L54"/>
    <mergeCell ref="J52:L52"/>
    <mergeCell ref="J55:L55"/>
    <mergeCell ref="J56:L56"/>
    <mergeCell ref="J57:L57"/>
    <mergeCell ref="B50:L50"/>
    <mergeCell ref="B51:B52"/>
    <mergeCell ref="C51:C52"/>
    <mergeCell ref="J3:K3"/>
    <mergeCell ref="H3:I3"/>
    <mergeCell ref="D3:E3"/>
    <mergeCell ref="F5:F6"/>
    <mergeCell ref="F3:G3"/>
    <mergeCell ref="G5:G6"/>
    <mergeCell ref="I5:I6"/>
    <mergeCell ref="H5:H6"/>
    <mergeCell ref="K48:L48"/>
    <mergeCell ref="G48:J48"/>
    <mergeCell ref="K34:L34"/>
    <mergeCell ref="K35:L35"/>
    <mergeCell ref="K36:L36"/>
    <mergeCell ref="K25:L25"/>
    <mergeCell ref="K26:L26"/>
    <mergeCell ref="K27:L27"/>
    <mergeCell ref="K28:L28"/>
    <mergeCell ref="K29:L29"/>
    <mergeCell ref="K30:L30"/>
    <mergeCell ref="K31:L31"/>
    <mergeCell ref="K32:L32"/>
    <mergeCell ref="K33:L33"/>
    <mergeCell ref="K14:L14"/>
    <mergeCell ref="E66:G66"/>
    <mergeCell ref="H66:I66"/>
    <mergeCell ref="J66:L66"/>
    <mergeCell ref="C64:D64"/>
    <mergeCell ref="C62:D62"/>
    <mergeCell ref="C63:D63"/>
    <mergeCell ref="B62:B63"/>
    <mergeCell ref="C65:D65"/>
    <mergeCell ref="C66:D66"/>
    <mergeCell ref="J64:L64"/>
    <mergeCell ref="J53:L53"/>
    <mergeCell ref="H53:I53"/>
    <mergeCell ref="H54:I54"/>
    <mergeCell ref="H55:I55"/>
    <mergeCell ref="H56:I56"/>
    <mergeCell ref="H57:I57"/>
    <mergeCell ref="H58:I58"/>
    <mergeCell ref="D51:E51"/>
    <mergeCell ref="D52:E52"/>
    <mergeCell ref="D54:E54"/>
    <mergeCell ref="D55:E55"/>
    <mergeCell ref="D56:E56"/>
    <mergeCell ref="D57:E57"/>
  </mergeCells>
  <phoneticPr fontId="41" type="noConversion"/>
  <dataValidations count="1">
    <dataValidation type="list" allowBlank="1" showInputMessage="1" showErrorMessage="1" sqref="C42:C47" xr:uid="{00000000-0002-0000-0100-000000000000}">
      <formula1>"Dabiskā,Mehāniskā,Infiltrācija"</formula1>
    </dataValidation>
  </dataValidations>
  <printOptions horizontalCentered="1"/>
  <pageMargins left="0.11811023622047245" right="0.11811023622047245" top="0.74803149606299213" bottom="0.35433070866141736" header="0.31496062992125984" footer="0.31496062992125984"/>
  <pageSetup paperSize="9" scale="74" orientation="portrait" horizontalDpi="1200" verticalDpi="1200" r:id="rId1"/>
  <headerFooter>
    <oddFooter>&amp;R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70"/>
  <sheetViews>
    <sheetView showGridLines="0" workbookViewId="0">
      <selection activeCell="J71" sqref="J71"/>
    </sheetView>
  </sheetViews>
  <sheetFormatPr defaultColWidth="11.44140625" defaultRowHeight="13.8" x14ac:dyDescent="0.25"/>
  <cols>
    <col min="1" max="1" width="1.44140625" style="1" customWidth="1"/>
    <col min="2" max="2" width="5.109375" style="1" customWidth="1"/>
    <col min="3" max="3" width="18.5546875" style="1" customWidth="1"/>
    <col min="4" max="6" width="15.44140625" style="1" customWidth="1"/>
    <col min="7" max="7" width="14.33203125" style="1" customWidth="1"/>
    <col min="8" max="9" width="10.88671875" style="1" customWidth="1"/>
    <col min="10" max="11" width="11.44140625" style="1" customWidth="1"/>
    <col min="12" max="12" width="6.33203125" style="1" customWidth="1"/>
    <col min="13" max="16384" width="11.44140625" style="1"/>
  </cols>
  <sheetData>
    <row r="1" spans="1:12" s="2" customFormat="1" ht="30.6" x14ac:dyDescent="0.55000000000000004">
      <c r="A1" s="390" t="s">
        <v>188</v>
      </c>
      <c r="B1" s="391"/>
      <c r="C1" s="391"/>
      <c r="D1" s="391"/>
      <c r="E1" s="391"/>
      <c r="F1" s="391"/>
      <c r="G1" s="391"/>
      <c r="H1" s="391"/>
      <c r="I1" s="391"/>
      <c r="J1" s="391"/>
      <c r="K1" s="391"/>
      <c r="L1" s="392"/>
    </row>
    <row r="2" spans="1:12" s="16" customFormat="1" x14ac:dyDescent="0.25">
      <c r="A2" s="398" t="s">
        <v>78</v>
      </c>
      <c r="B2" s="398"/>
      <c r="C2" s="398"/>
      <c r="D2" s="398"/>
      <c r="E2" s="398"/>
      <c r="F2" s="398"/>
      <c r="G2" s="398"/>
      <c r="H2" s="398"/>
      <c r="I2" s="398"/>
      <c r="J2" s="398"/>
      <c r="K2" s="398"/>
      <c r="L2" s="398"/>
    </row>
    <row r="3" spans="1:12" s="16" customFormat="1" x14ac:dyDescent="0.25">
      <c r="A3" s="243"/>
      <c r="B3" s="243"/>
      <c r="C3" s="243"/>
      <c r="D3" s="355" t="s">
        <v>79</v>
      </c>
      <c r="E3" s="355"/>
      <c r="F3" s="358" t="s">
        <v>80</v>
      </c>
      <c r="G3" s="359"/>
      <c r="H3" s="355" t="s">
        <v>81</v>
      </c>
      <c r="I3" s="355"/>
      <c r="J3" s="355" t="s">
        <v>82</v>
      </c>
      <c r="K3" s="355"/>
      <c r="L3" s="243"/>
    </row>
    <row r="4" spans="1:12" s="16" customFormat="1" x14ac:dyDescent="0.25">
      <c r="A4" s="243"/>
      <c r="B4" s="243"/>
      <c r="C4" s="243"/>
      <c r="D4" s="270" t="s">
        <v>83</v>
      </c>
      <c r="E4" s="270" t="s">
        <v>84</v>
      </c>
      <c r="F4" s="270" t="s">
        <v>83</v>
      </c>
      <c r="G4" s="270" t="s">
        <v>84</v>
      </c>
      <c r="H4" s="270" t="s">
        <v>83</v>
      </c>
      <c r="I4" s="270" t="s">
        <v>84</v>
      </c>
      <c r="J4" s="270" t="s">
        <v>83</v>
      </c>
      <c r="K4" s="270" t="s">
        <v>84</v>
      </c>
      <c r="L4" s="243"/>
    </row>
    <row r="5" spans="1:12" s="157" customFormat="1" ht="13.2" x14ac:dyDescent="0.25">
      <c r="A5" s="3"/>
      <c r="B5" s="61"/>
      <c r="C5" s="399"/>
      <c r="D5" s="276"/>
      <c r="E5" s="275"/>
      <c r="F5" s="356">
        <f>J10*24</f>
        <v>0</v>
      </c>
      <c r="G5" s="360">
        <f>K10*24</f>
        <v>0</v>
      </c>
      <c r="H5" s="362">
        <f>J8</f>
        <v>0</v>
      </c>
      <c r="I5" s="362">
        <f>K8</f>
        <v>0</v>
      </c>
      <c r="J5" s="271" t="str">
        <f>IFERROR(IF(D5="","",H5-D5*1000/F5),"")</f>
        <v/>
      </c>
      <c r="K5" s="272" t="str">
        <f>IFERROR(IF(E5="","",I5-E5*1000/G5),"")</f>
        <v/>
      </c>
      <c r="L5" s="62"/>
    </row>
    <row r="6" spans="1:12" s="157" customFormat="1" ht="13.2" x14ac:dyDescent="0.25">
      <c r="A6" s="3"/>
      <c r="B6" s="61"/>
      <c r="C6" s="399"/>
      <c r="D6" s="276"/>
      <c r="E6" s="276"/>
      <c r="F6" s="357"/>
      <c r="G6" s="361"/>
      <c r="H6" s="361"/>
      <c r="I6" s="363"/>
      <c r="J6" s="271" t="str">
        <f>IFERROR(IF(D6="","",H5-D6*1000/F5),"")</f>
        <v/>
      </c>
      <c r="K6" s="272" t="str">
        <f>IFERROR(IF(E6="","",I5-E6*1000/G5),"")</f>
        <v/>
      </c>
      <c r="L6" s="62"/>
    </row>
    <row r="7" spans="1:12" s="157" customFormat="1" x14ac:dyDescent="0.3">
      <c r="A7" s="3"/>
      <c r="B7" s="61"/>
      <c r="C7" s="242"/>
      <c r="D7" s="3"/>
      <c r="E7" s="64"/>
      <c r="F7" s="64"/>
      <c r="G7" s="266"/>
      <c r="H7" s="266"/>
      <c r="I7" s="267"/>
      <c r="J7" s="269" t="s">
        <v>85</v>
      </c>
      <c r="K7" s="269" t="s">
        <v>86</v>
      </c>
      <c r="L7" s="62"/>
    </row>
    <row r="8" spans="1:12" x14ac:dyDescent="0.25">
      <c r="A8" s="5"/>
      <c r="B8" s="6"/>
      <c r="C8" s="63"/>
      <c r="D8" s="394"/>
      <c r="E8" s="394"/>
      <c r="F8" s="394"/>
      <c r="G8" s="64"/>
      <c r="H8" s="5"/>
      <c r="I8" s="7" t="s">
        <v>87</v>
      </c>
      <c r="J8" s="244"/>
      <c r="K8" s="244"/>
      <c r="L8" s="9" t="s">
        <v>88</v>
      </c>
    </row>
    <row r="9" spans="1:12" x14ac:dyDescent="0.25">
      <c r="A9" s="5"/>
      <c r="B9" s="6"/>
      <c r="C9" s="11"/>
      <c r="D9" s="393"/>
      <c r="E9" s="393"/>
      <c r="F9" s="274"/>
      <c r="G9" s="5"/>
      <c r="H9" s="5"/>
      <c r="I9" s="7" t="s">
        <v>89</v>
      </c>
      <c r="J9" s="8"/>
      <c r="K9" s="8"/>
      <c r="L9" s="9" t="s">
        <v>88</v>
      </c>
    </row>
    <row r="10" spans="1:12" x14ac:dyDescent="0.25">
      <c r="A10" s="12"/>
      <c r="B10" s="10"/>
      <c r="C10" s="274"/>
      <c r="D10" s="403" t="s">
        <v>7</v>
      </c>
      <c r="E10" s="403"/>
      <c r="F10" s="274"/>
      <c r="G10" s="7"/>
      <c r="H10" s="395" t="s">
        <v>90</v>
      </c>
      <c r="I10" s="396"/>
      <c r="J10" s="13"/>
      <c r="K10" s="13"/>
      <c r="L10" s="268" t="s">
        <v>91</v>
      </c>
    </row>
    <row r="11" spans="1:12" x14ac:dyDescent="0.25">
      <c r="A11" s="12"/>
      <c r="B11" s="10"/>
      <c r="C11" s="14"/>
      <c r="D11" s="15"/>
      <c r="E11" s="393"/>
      <c r="F11" s="393"/>
      <c r="G11" s="16"/>
      <c r="H11" s="10"/>
      <c r="I11" s="7" t="s">
        <v>92</v>
      </c>
      <c r="J11" s="131">
        <f>'2.lapa_Esošā situācija'!J11</f>
        <v>0</v>
      </c>
      <c r="K11" s="131">
        <f>'2.lapa_Esošā situācija'!K11</f>
        <v>0</v>
      </c>
      <c r="L11" s="17" t="s">
        <v>93</v>
      </c>
    </row>
    <row r="12" spans="1:12" x14ac:dyDescent="0.25">
      <c r="A12" s="12"/>
      <c r="B12" s="10"/>
      <c r="C12" s="393"/>
      <c r="D12" s="393"/>
      <c r="E12" s="393"/>
      <c r="F12" s="393"/>
      <c r="G12" s="16"/>
      <c r="H12" s="10"/>
      <c r="I12" s="7" t="s">
        <v>94</v>
      </c>
      <c r="J12" s="131">
        <f>'2.lapa_Esošā situācija'!J12</f>
        <v>0</v>
      </c>
      <c r="K12" s="131">
        <f>'2.lapa_Esošā situācija'!K12</f>
        <v>0</v>
      </c>
      <c r="L12" s="17" t="s">
        <v>95</v>
      </c>
    </row>
    <row r="13" spans="1:12" ht="15.6" x14ac:dyDescent="0.3">
      <c r="A13" s="16"/>
      <c r="B13" s="397" t="s">
        <v>189</v>
      </c>
      <c r="C13" s="397"/>
      <c r="D13" s="397"/>
      <c r="E13" s="397"/>
      <c r="F13" s="397"/>
      <c r="G13" s="397"/>
      <c r="H13" s="397"/>
      <c r="I13" s="397"/>
      <c r="J13" s="397"/>
      <c r="K13" s="397"/>
      <c r="L13" s="397"/>
    </row>
    <row r="14" spans="1:12" ht="29.4" customHeight="1" x14ac:dyDescent="0.25">
      <c r="A14" s="16"/>
      <c r="B14" s="388" t="s">
        <v>97</v>
      </c>
      <c r="C14" s="388"/>
      <c r="D14" s="161" t="s">
        <v>98</v>
      </c>
      <c r="E14" s="162" t="s">
        <v>99</v>
      </c>
      <c r="F14" s="162" t="s">
        <v>100</v>
      </c>
      <c r="G14" s="162" t="s">
        <v>101</v>
      </c>
      <c r="H14" s="162" t="s">
        <v>102</v>
      </c>
      <c r="I14" s="162" t="s">
        <v>103</v>
      </c>
      <c r="J14" s="162" t="s">
        <v>104</v>
      </c>
      <c r="K14" s="370" t="s">
        <v>105</v>
      </c>
      <c r="L14" s="371"/>
    </row>
    <row r="15" spans="1:12" x14ac:dyDescent="0.25">
      <c r="A15" s="16"/>
      <c r="B15" s="388"/>
      <c r="C15" s="388"/>
      <c r="D15" s="163" t="s">
        <v>93</v>
      </c>
      <c r="E15" s="163" t="s">
        <v>106</v>
      </c>
      <c r="F15" s="163" t="s">
        <v>107</v>
      </c>
      <c r="G15" s="163" t="s">
        <v>108</v>
      </c>
      <c r="H15" s="163" t="s">
        <v>109</v>
      </c>
      <c r="I15" s="163" t="s">
        <v>110</v>
      </c>
      <c r="J15" s="248" t="s">
        <v>111</v>
      </c>
      <c r="K15" s="401" t="s">
        <v>112</v>
      </c>
      <c r="L15" s="402"/>
    </row>
    <row r="16" spans="1:12" s="252" customFormat="1" ht="7.8" x14ac:dyDescent="0.15">
      <c r="A16" s="251"/>
      <c r="B16" s="389">
        <v>1</v>
      </c>
      <c r="C16" s="389"/>
      <c r="D16" s="250">
        <v>2</v>
      </c>
      <c r="E16" s="250">
        <v>3</v>
      </c>
      <c r="F16" s="250">
        <v>4</v>
      </c>
      <c r="G16" s="250">
        <v>5</v>
      </c>
      <c r="H16" s="250">
        <v>6</v>
      </c>
      <c r="I16" s="250">
        <v>7</v>
      </c>
      <c r="J16" s="250">
        <v>8</v>
      </c>
      <c r="K16" s="400">
        <v>9</v>
      </c>
      <c r="L16" s="400"/>
    </row>
    <row r="17" spans="1:12" ht="14.4" customHeight="1" x14ac:dyDescent="0.25">
      <c r="A17" s="16"/>
      <c r="B17" s="372" t="s">
        <v>113</v>
      </c>
      <c r="C17" s="373"/>
      <c r="D17" s="131" t="str">
        <f>IF('2.lapa_Esošā situācija'!D17="","",'2.lapa_Esošā situācija'!D17)</f>
        <v/>
      </c>
      <c r="E17" s="18"/>
      <c r="F17" s="131" t="str">
        <f>IF('2.lapa_Esošā situācija'!F17="","",'2.lapa_Esošā situācija'!F17)</f>
        <v/>
      </c>
      <c r="G17" s="18"/>
      <c r="H17" s="249" t="str">
        <f>IF(D17="","",D17*E17+F17*G17)</f>
        <v/>
      </c>
      <c r="I17" s="247" t="str">
        <f>IF(D17="","",$J$10*24)</f>
        <v/>
      </c>
      <c r="J17" s="8"/>
      <c r="K17" s="368" t="str">
        <f>IFERROR(IF(D17="","",H17*I17*J17/1000),"")</f>
        <v/>
      </c>
      <c r="L17" s="369"/>
    </row>
    <row r="18" spans="1:12" ht="14.4" customHeight="1" x14ac:dyDescent="0.25">
      <c r="A18" s="16"/>
      <c r="B18" s="372" t="s">
        <v>114</v>
      </c>
      <c r="C18" s="373"/>
      <c r="D18" s="131" t="str">
        <f>IF('2.lapa_Esošā situācija'!D18="","",'2.lapa_Esošā situācija'!D18)</f>
        <v/>
      </c>
      <c r="E18" s="18"/>
      <c r="F18" s="131" t="str">
        <f>IF('2.lapa_Esošā situācija'!F18="","",'2.lapa_Esošā situācija'!F18)</f>
        <v/>
      </c>
      <c r="G18" s="18"/>
      <c r="H18" s="249" t="str">
        <f t="shared" ref="H18:H36" si="0">IF(D18="","",D18*E18+F18*G18)</f>
        <v/>
      </c>
      <c r="I18" s="247" t="str">
        <f t="shared" ref="I18:I36" si="1">IF(D18="","",$J$10*24)</f>
        <v/>
      </c>
      <c r="J18" s="8" t="str">
        <f t="shared" ref="J18:J36" si="2">IF(F18="","",F18*G18*H18*I18/1000)</f>
        <v/>
      </c>
      <c r="K18" s="368" t="str">
        <f t="shared" ref="K18:K36" si="3">IFERROR(IF(D18="","",H18*I18*J18/1000),"")</f>
        <v/>
      </c>
      <c r="L18" s="369"/>
    </row>
    <row r="19" spans="1:12" x14ac:dyDescent="0.25">
      <c r="A19" s="16"/>
      <c r="B19" s="372" t="s">
        <v>115</v>
      </c>
      <c r="C19" s="373"/>
      <c r="D19" s="131" t="str">
        <f>IF('2.lapa_Esošā situācija'!D19="","",'2.lapa_Esošā situācija'!D19)</f>
        <v/>
      </c>
      <c r="E19" s="18"/>
      <c r="F19" s="131" t="str">
        <f>IF('2.lapa_Esošā situācija'!F19="","",'2.lapa_Esošā situācija'!F19)</f>
        <v/>
      </c>
      <c r="G19" s="18"/>
      <c r="H19" s="249" t="str">
        <f t="shared" si="0"/>
        <v/>
      </c>
      <c r="I19" s="247" t="str">
        <f t="shared" si="1"/>
        <v/>
      </c>
      <c r="J19" s="8" t="str">
        <f t="shared" si="2"/>
        <v/>
      </c>
      <c r="K19" s="368" t="str">
        <f t="shared" si="3"/>
        <v/>
      </c>
      <c r="L19" s="369"/>
    </row>
    <row r="20" spans="1:12" x14ac:dyDescent="0.25">
      <c r="A20" s="16"/>
      <c r="B20" s="372" t="s">
        <v>116</v>
      </c>
      <c r="C20" s="373"/>
      <c r="D20" s="131" t="str">
        <f>IF('2.lapa_Esošā situācija'!D20="","",'2.lapa_Esošā situācija'!D20)</f>
        <v/>
      </c>
      <c r="E20" s="18"/>
      <c r="F20" s="131" t="str">
        <f>IF('2.lapa_Esošā situācija'!F20="","",'2.lapa_Esošā situācija'!F20)</f>
        <v/>
      </c>
      <c r="G20" s="18"/>
      <c r="H20" s="249" t="str">
        <f t="shared" si="0"/>
        <v/>
      </c>
      <c r="I20" s="247" t="str">
        <f t="shared" si="1"/>
        <v/>
      </c>
      <c r="J20" s="8" t="str">
        <f t="shared" si="2"/>
        <v/>
      </c>
      <c r="K20" s="368" t="str">
        <f t="shared" si="3"/>
        <v/>
      </c>
      <c r="L20" s="369"/>
    </row>
    <row r="21" spans="1:12" x14ac:dyDescent="0.25">
      <c r="A21" s="16"/>
      <c r="B21" s="372" t="s">
        <v>117</v>
      </c>
      <c r="C21" s="373"/>
      <c r="D21" s="131" t="str">
        <f>IF('2.lapa_Esošā situācija'!D21="","",'2.lapa_Esošā situācija'!D21)</f>
        <v/>
      </c>
      <c r="E21" s="18"/>
      <c r="F21" s="131" t="str">
        <f>IF('2.lapa_Esošā situācija'!F21="","",'2.lapa_Esošā situācija'!F21)</f>
        <v/>
      </c>
      <c r="G21" s="18"/>
      <c r="H21" s="249" t="str">
        <f t="shared" si="0"/>
        <v/>
      </c>
      <c r="I21" s="247" t="str">
        <f t="shared" si="1"/>
        <v/>
      </c>
      <c r="J21" s="8" t="str">
        <f t="shared" si="2"/>
        <v/>
      </c>
      <c r="K21" s="368" t="str">
        <f t="shared" si="3"/>
        <v/>
      </c>
      <c r="L21" s="369"/>
    </row>
    <row r="22" spans="1:12" x14ac:dyDescent="0.25">
      <c r="A22" s="16"/>
      <c r="B22" s="372" t="s">
        <v>118</v>
      </c>
      <c r="C22" s="373"/>
      <c r="D22" s="131" t="str">
        <f>IF('2.lapa_Esošā situācija'!D22="","",'2.lapa_Esošā situācija'!D22)</f>
        <v/>
      </c>
      <c r="E22" s="18"/>
      <c r="F22" s="131" t="str">
        <f>IF('2.lapa_Esošā situācija'!F22="","",'2.lapa_Esošā situācija'!F22)</f>
        <v/>
      </c>
      <c r="G22" s="18"/>
      <c r="H22" s="249" t="str">
        <f t="shared" si="0"/>
        <v/>
      </c>
      <c r="I22" s="247" t="str">
        <f t="shared" si="1"/>
        <v/>
      </c>
      <c r="J22" s="8" t="str">
        <f t="shared" si="2"/>
        <v/>
      </c>
      <c r="K22" s="368" t="str">
        <f t="shared" si="3"/>
        <v/>
      </c>
      <c r="L22" s="369"/>
    </row>
    <row r="23" spans="1:12" x14ac:dyDescent="0.25">
      <c r="A23" s="16"/>
      <c r="B23" s="372" t="s">
        <v>119</v>
      </c>
      <c r="C23" s="373"/>
      <c r="D23" s="131" t="str">
        <f>IF('2.lapa_Esošā situācija'!D23="","",'2.lapa_Esošā situācija'!D23)</f>
        <v/>
      </c>
      <c r="E23" s="18"/>
      <c r="F23" s="131" t="str">
        <f>IF('2.lapa_Esošā situācija'!F23="","",'2.lapa_Esošā situācija'!F23)</f>
        <v/>
      </c>
      <c r="G23" s="18"/>
      <c r="H23" s="249" t="str">
        <f t="shared" si="0"/>
        <v/>
      </c>
      <c r="I23" s="247" t="str">
        <f t="shared" si="1"/>
        <v/>
      </c>
      <c r="J23" s="8" t="str">
        <f t="shared" si="2"/>
        <v/>
      </c>
      <c r="K23" s="368" t="str">
        <f t="shared" si="3"/>
        <v/>
      </c>
      <c r="L23" s="369"/>
    </row>
    <row r="24" spans="1:12" x14ac:dyDescent="0.25">
      <c r="A24" s="16"/>
      <c r="B24" s="372" t="s">
        <v>120</v>
      </c>
      <c r="C24" s="373"/>
      <c r="D24" s="131" t="str">
        <f>IF('2.lapa_Esošā situācija'!D24="","",'2.lapa_Esošā situācija'!D24)</f>
        <v/>
      </c>
      <c r="E24" s="18"/>
      <c r="F24" s="131" t="str">
        <f>IF('2.lapa_Esošā situācija'!F24="","",'2.lapa_Esošā situācija'!F24)</f>
        <v/>
      </c>
      <c r="G24" s="18"/>
      <c r="H24" s="249" t="str">
        <f t="shared" si="0"/>
        <v/>
      </c>
      <c r="I24" s="247" t="str">
        <f t="shared" si="1"/>
        <v/>
      </c>
      <c r="J24" s="8" t="str">
        <f t="shared" si="2"/>
        <v/>
      </c>
      <c r="K24" s="368" t="str">
        <f t="shared" si="3"/>
        <v/>
      </c>
      <c r="L24" s="369"/>
    </row>
    <row r="25" spans="1:12" x14ac:dyDescent="0.25">
      <c r="A25" s="16"/>
      <c r="B25" s="372" t="s">
        <v>121</v>
      </c>
      <c r="C25" s="373"/>
      <c r="D25" s="131" t="str">
        <f>IF('2.lapa_Esošā situācija'!D25="","",'2.lapa_Esošā situācija'!D25)</f>
        <v/>
      </c>
      <c r="E25" s="18"/>
      <c r="F25" s="131" t="str">
        <f>IF('2.lapa_Esošā situācija'!F25="","",'2.lapa_Esošā situācija'!F25)</f>
        <v/>
      </c>
      <c r="G25" s="18"/>
      <c r="H25" s="249" t="str">
        <f t="shared" si="0"/>
        <v/>
      </c>
      <c r="I25" s="247" t="str">
        <f t="shared" si="1"/>
        <v/>
      </c>
      <c r="J25" s="8" t="str">
        <f t="shared" si="2"/>
        <v/>
      </c>
      <c r="K25" s="368" t="str">
        <f t="shared" si="3"/>
        <v/>
      </c>
      <c r="L25" s="369"/>
    </row>
    <row r="26" spans="1:12" x14ac:dyDescent="0.25">
      <c r="A26" s="16"/>
      <c r="B26" s="372" t="s">
        <v>122</v>
      </c>
      <c r="C26" s="373"/>
      <c r="D26" s="131" t="str">
        <f>IF('2.lapa_Esošā situācija'!D26="","",'2.lapa_Esošā situācija'!D26)</f>
        <v/>
      </c>
      <c r="E26" s="18"/>
      <c r="F26" s="131" t="str">
        <f>IF('2.lapa_Esošā situācija'!F26="","",'2.lapa_Esošā situācija'!F26)</f>
        <v/>
      </c>
      <c r="G26" s="18"/>
      <c r="H26" s="249" t="str">
        <f t="shared" si="0"/>
        <v/>
      </c>
      <c r="I26" s="247" t="str">
        <f t="shared" si="1"/>
        <v/>
      </c>
      <c r="J26" s="8" t="str">
        <f t="shared" si="2"/>
        <v/>
      </c>
      <c r="K26" s="368" t="str">
        <f t="shared" si="3"/>
        <v/>
      </c>
      <c r="L26" s="369"/>
    </row>
    <row r="27" spans="1:12" x14ac:dyDescent="0.25">
      <c r="A27" s="16"/>
      <c r="B27" s="372" t="s">
        <v>123</v>
      </c>
      <c r="C27" s="373"/>
      <c r="D27" s="131" t="str">
        <f>IF('2.lapa_Esošā situācija'!D27="","",'2.lapa_Esošā situācija'!D27)</f>
        <v/>
      </c>
      <c r="E27" s="18"/>
      <c r="F27" s="131" t="str">
        <f>IF('2.lapa_Esošā situācija'!F27="","",'2.lapa_Esošā situācija'!F27)</f>
        <v/>
      </c>
      <c r="G27" s="18"/>
      <c r="H27" s="249" t="str">
        <f t="shared" si="0"/>
        <v/>
      </c>
      <c r="I27" s="247" t="str">
        <f t="shared" si="1"/>
        <v/>
      </c>
      <c r="J27" s="8" t="str">
        <f t="shared" si="2"/>
        <v/>
      </c>
      <c r="K27" s="368" t="str">
        <f t="shared" si="3"/>
        <v/>
      </c>
      <c r="L27" s="369"/>
    </row>
    <row r="28" spans="1:12" x14ac:dyDescent="0.25">
      <c r="A28" s="16"/>
      <c r="B28" s="372" t="s">
        <v>124</v>
      </c>
      <c r="C28" s="373"/>
      <c r="D28" s="131" t="str">
        <f>IF('2.lapa_Esošā situācija'!D28="","",'2.lapa_Esošā situācija'!D28)</f>
        <v/>
      </c>
      <c r="E28" s="18"/>
      <c r="F28" s="131" t="str">
        <f>IF('2.lapa_Esošā situācija'!F28="","",'2.lapa_Esošā situācija'!F28)</f>
        <v/>
      </c>
      <c r="G28" s="18"/>
      <c r="H28" s="249" t="str">
        <f t="shared" si="0"/>
        <v/>
      </c>
      <c r="I28" s="247" t="str">
        <f t="shared" si="1"/>
        <v/>
      </c>
      <c r="J28" s="8" t="str">
        <f t="shared" si="2"/>
        <v/>
      </c>
      <c r="K28" s="368" t="str">
        <f t="shared" si="3"/>
        <v/>
      </c>
      <c r="L28" s="369"/>
    </row>
    <row r="29" spans="1:12" x14ac:dyDescent="0.25">
      <c r="A29" s="16"/>
      <c r="B29" s="372" t="s">
        <v>125</v>
      </c>
      <c r="C29" s="373"/>
      <c r="D29" s="131" t="str">
        <f>IF('2.lapa_Esošā situācija'!D29="","",'2.lapa_Esošā situācija'!D29)</f>
        <v/>
      </c>
      <c r="E29" s="18"/>
      <c r="F29" s="131" t="str">
        <f>IF('2.lapa_Esošā situācija'!F29="","",'2.lapa_Esošā situācija'!F29)</f>
        <v/>
      </c>
      <c r="G29" s="18"/>
      <c r="H29" s="249" t="str">
        <f t="shared" si="0"/>
        <v/>
      </c>
      <c r="I29" s="247" t="str">
        <f t="shared" si="1"/>
        <v/>
      </c>
      <c r="J29" s="8" t="str">
        <f t="shared" si="2"/>
        <v/>
      </c>
      <c r="K29" s="368" t="str">
        <f t="shared" si="3"/>
        <v/>
      </c>
      <c r="L29" s="369"/>
    </row>
    <row r="30" spans="1:12" x14ac:dyDescent="0.25">
      <c r="A30" s="16"/>
      <c r="B30" s="372" t="s">
        <v>126</v>
      </c>
      <c r="C30" s="373"/>
      <c r="D30" s="131" t="str">
        <f>IF('2.lapa_Esošā situācija'!D30="","",'2.lapa_Esošā situācija'!D30)</f>
        <v/>
      </c>
      <c r="E30" s="18"/>
      <c r="F30" s="131" t="str">
        <f>IF('2.lapa_Esošā situācija'!F30="","",'2.lapa_Esošā situācija'!F30)</f>
        <v/>
      </c>
      <c r="G30" s="18"/>
      <c r="H30" s="249" t="str">
        <f t="shared" si="0"/>
        <v/>
      </c>
      <c r="I30" s="247" t="str">
        <f t="shared" si="1"/>
        <v/>
      </c>
      <c r="J30" s="8" t="str">
        <f t="shared" si="2"/>
        <v/>
      </c>
      <c r="K30" s="368" t="str">
        <f t="shared" si="3"/>
        <v/>
      </c>
      <c r="L30" s="369"/>
    </row>
    <row r="31" spans="1:12" x14ac:dyDescent="0.25">
      <c r="A31" s="16"/>
      <c r="B31" s="372" t="s">
        <v>127</v>
      </c>
      <c r="C31" s="373"/>
      <c r="D31" s="131" t="str">
        <f>IF('2.lapa_Esošā situācija'!D31="","",'2.lapa_Esošā situācija'!D31)</f>
        <v/>
      </c>
      <c r="E31" s="18"/>
      <c r="F31" s="131" t="str">
        <f>IF('2.lapa_Esošā situācija'!F31="","",'2.lapa_Esošā situācija'!F31)</f>
        <v/>
      </c>
      <c r="G31" s="18"/>
      <c r="H31" s="249" t="str">
        <f t="shared" si="0"/>
        <v/>
      </c>
      <c r="I31" s="247" t="str">
        <f t="shared" si="1"/>
        <v/>
      </c>
      <c r="J31" s="8" t="str">
        <f t="shared" si="2"/>
        <v/>
      </c>
      <c r="K31" s="368" t="str">
        <f t="shared" si="3"/>
        <v/>
      </c>
      <c r="L31" s="369"/>
    </row>
    <row r="32" spans="1:12" x14ac:dyDescent="0.25">
      <c r="A32" s="16"/>
      <c r="B32" s="372" t="s">
        <v>128</v>
      </c>
      <c r="C32" s="373"/>
      <c r="D32" s="131" t="str">
        <f>IF('2.lapa_Esošā situācija'!D32="","",'2.lapa_Esošā situācija'!D32)</f>
        <v/>
      </c>
      <c r="E32" s="18"/>
      <c r="F32" s="131" t="str">
        <f>IF('2.lapa_Esošā situācija'!F32="","",'2.lapa_Esošā situācija'!F32)</f>
        <v/>
      </c>
      <c r="G32" s="18"/>
      <c r="H32" s="249" t="str">
        <f t="shared" si="0"/>
        <v/>
      </c>
      <c r="I32" s="247" t="str">
        <f t="shared" si="1"/>
        <v/>
      </c>
      <c r="J32" s="8" t="str">
        <f t="shared" si="2"/>
        <v/>
      </c>
      <c r="K32" s="368" t="str">
        <f t="shared" si="3"/>
        <v/>
      </c>
      <c r="L32" s="369"/>
    </row>
    <row r="33" spans="1:12" x14ac:dyDescent="0.25">
      <c r="A33" s="16"/>
      <c r="B33" s="372" t="s">
        <v>129</v>
      </c>
      <c r="C33" s="373"/>
      <c r="D33" s="131" t="str">
        <f>IF('2.lapa_Esošā situācija'!D33="","",'2.lapa_Esošā situācija'!D33)</f>
        <v/>
      </c>
      <c r="E33" s="18"/>
      <c r="F33" s="131" t="str">
        <f>IF('2.lapa_Esošā situācija'!F33="","",'2.lapa_Esošā situācija'!F33)</f>
        <v/>
      </c>
      <c r="G33" s="18"/>
      <c r="H33" s="249" t="str">
        <f t="shared" si="0"/>
        <v/>
      </c>
      <c r="I33" s="247" t="str">
        <f t="shared" si="1"/>
        <v/>
      </c>
      <c r="J33" s="8" t="str">
        <f t="shared" si="2"/>
        <v/>
      </c>
      <c r="K33" s="368" t="str">
        <f t="shared" si="3"/>
        <v/>
      </c>
      <c r="L33" s="369"/>
    </row>
    <row r="34" spans="1:12" x14ac:dyDescent="0.25">
      <c r="A34" s="16"/>
      <c r="B34" s="372" t="s">
        <v>130</v>
      </c>
      <c r="C34" s="373"/>
      <c r="D34" s="131" t="str">
        <f>IF('2.lapa_Esošā situācija'!D34="","",'2.lapa_Esošā situācija'!D34)</f>
        <v/>
      </c>
      <c r="E34" s="18"/>
      <c r="F34" s="131" t="str">
        <f>IF('2.lapa_Esošā situācija'!F34="","",'2.lapa_Esošā situācija'!F34)</f>
        <v/>
      </c>
      <c r="G34" s="18"/>
      <c r="H34" s="249" t="str">
        <f t="shared" si="0"/>
        <v/>
      </c>
      <c r="I34" s="247" t="str">
        <f t="shared" si="1"/>
        <v/>
      </c>
      <c r="J34" s="8" t="str">
        <f t="shared" si="2"/>
        <v/>
      </c>
      <c r="K34" s="368" t="str">
        <f t="shared" si="3"/>
        <v/>
      </c>
      <c r="L34" s="369"/>
    </row>
    <row r="35" spans="1:12" x14ac:dyDescent="0.25">
      <c r="A35" s="16"/>
      <c r="B35" s="372" t="s">
        <v>131</v>
      </c>
      <c r="C35" s="373"/>
      <c r="D35" s="131" t="str">
        <f>IF('2.lapa_Esošā situācija'!D35="","",'2.lapa_Esošā situācija'!D35)</f>
        <v/>
      </c>
      <c r="E35" s="18"/>
      <c r="F35" s="131" t="str">
        <f>IF('2.lapa_Esošā situācija'!F35="","",'2.lapa_Esošā situācija'!F35)</f>
        <v/>
      </c>
      <c r="G35" s="18"/>
      <c r="H35" s="249" t="str">
        <f t="shared" si="0"/>
        <v/>
      </c>
      <c r="I35" s="247" t="str">
        <f t="shared" si="1"/>
        <v/>
      </c>
      <c r="J35" s="8" t="str">
        <f t="shared" si="2"/>
        <v/>
      </c>
      <c r="K35" s="368" t="str">
        <f t="shared" si="3"/>
        <v/>
      </c>
      <c r="L35" s="369"/>
    </row>
    <row r="36" spans="1:12" x14ac:dyDescent="0.25">
      <c r="A36" s="16"/>
      <c r="B36" s="372" t="s">
        <v>132</v>
      </c>
      <c r="C36" s="373"/>
      <c r="D36" s="131" t="str">
        <f>IF('2.lapa_Esošā situācija'!D36="","",'2.lapa_Esošā situācija'!D36)</f>
        <v/>
      </c>
      <c r="E36" s="18"/>
      <c r="F36" s="131" t="str">
        <f>IF('2.lapa_Esošā situācija'!F36="","",'2.lapa_Esošā situācija'!F36)</f>
        <v/>
      </c>
      <c r="G36" s="18"/>
      <c r="H36" s="249" t="str">
        <f t="shared" si="0"/>
        <v/>
      </c>
      <c r="I36" s="247" t="str">
        <f t="shared" si="1"/>
        <v/>
      </c>
      <c r="J36" s="8" t="str">
        <f t="shared" si="2"/>
        <v/>
      </c>
      <c r="K36" s="368" t="str">
        <f t="shared" si="3"/>
        <v/>
      </c>
      <c r="L36" s="369"/>
    </row>
    <row r="37" spans="1:12" ht="15.6" x14ac:dyDescent="0.25">
      <c r="A37" s="428" t="s">
        <v>133</v>
      </c>
      <c r="B37" s="428"/>
      <c r="C37" s="428"/>
      <c r="D37" s="428"/>
      <c r="E37" s="428"/>
      <c r="F37" s="428"/>
      <c r="G37" s="428"/>
      <c r="H37" s="428"/>
      <c r="I37" s="428"/>
      <c r="J37" s="429"/>
      <c r="K37" s="364">
        <f>SUM(K17:L36)</f>
        <v>0</v>
      </c>
      <c r="L37" s="365"/>
    </row>
    <row r="38" spans="1:12" ht="15.6" x14ac:dyDescent="0.25">
      <c r="B38" s="66" t="s">
        <v>190</v>
      </c>
      <c r="C38" s="66"/>
      <c r="D38" s="66"/>
      <c r="F38" s="16"/>
      <c r="G38" s="437"/>
      <c r="H38" s="437"/>
      <c r="I38" s="71"/>
      <c r="J38" s="72"/>
      <c r="K38" s="73"/>
      <c r="L38" s="10"/>
    </row>
    <row r="39" spans="1:12" ht="53.4" customHeight="1" x14ac:dyDescent="0.25">
      <c r="B39" s="436" t="s">
        <v>135</v>
      </c>
      <c r="C39" s="438" t="s">
        <v>136</v>
      </c>
      <c r="D39" s="162" t="s">
        <v>137</v>
      </c>
      <c r="E39" s="162" t="s">
        <v>138</v>
      </c>
      <c r="F39" s="162" t="s">
        <v>139</v>
      </c>
      <c r="G39" s="236" t="s">
        <v>140</v>
      </c>
      <c r="H39" s="162" t="s">
        <v>141</v>
      </c>
      <c r="I39" s="345" t="s">
        <v>142</v>
      </c>
      <c r="J39" s="346"/>
      <c r="K39" s="430" t="s">
        <v>143</v>
      </c>
      <c r="L39" s="431"/>
    </row>
    <row r="40" spans="1:12" s="74" customFormat="1" ht="12.6" x14ac:dyDescent="0.2">
      <c r="B40" s="436"/>
      <c r="C40" s="439"/>
      <c r="D40" s="164" t="s">
        <v>144</v>
      </c>
      <c r="E40" s="164" t="s">
        <v>145</v>
      </c>
      <c r="F40" s="164" t="s">
        <v>110</v>
      </c>
      <c r="G40" s="164" t="s">
        <v>109</v>
      </c>
      <c r="H40" s="164" t="s">
        <v>146</v>
      </c>
      <c r="I40" s="347" t="s">
        <v>111</v>
      </c>
      <c r="J40" s="348"/>
      <c r="K40" s="432" t="s">
        <v>112</v>
      </c>
      <c r="L40" s="433"/>
    </row>
    <row r="41" spans="1:12" s="252" customFormat="1" ht="7.8" x14ac:dyDescent="0.15">
      <c r="B41" s="253">
        <v>1</v>
      </c>
      <c r="C41" s="254">
        <v>2</v>
      </c>
      <c r="D41" s="255">
        <v>3</v>
      </c>
      <c r="E41" s="250">
        <v>4</v>
      </c>
      <c r="F41" s="260">
        <v>5</v>
      </c>
      <c r="G41" s="85">
        <v>6</v>
      </c>
      <c r="H41" s="250">
        <v>7</v>
      </c>
      <c r="I41" s="329">
        <v>8</v>
      </c>
      <c r="J41" s="330"/>
      <c r="K41" s="434">
        <v>9</v>
      </c>
      <c r="L41" s="435"/>
    </row>
    <row r="42" spans="1:12" x14ac:dyDescent="0.25">
      <c r="B42" s="418">
        <v>1</v>
      </c>
      <c r="C42" s="19" t="s">
        <v>147</v>
      </c>
      <c r="D42" s="273">
        <f>J12</f>
        <v>0</v>
      </c>
      <c r="E42" s="195"/>
      <c r="F42" s="264">
        <f>J10*24</f>
        <v>0</v>
      </c>
      <c r="G42" s="265" t="str">
        <f>IFERROR(D42*E42*F42/$F$42*0.336,"")</f>
        <v/>
      </c>
      <c r="H42" s="93">
        <v>0</v>
      </c>
      <c r="I42" s="372">
        <f>J8-J9</f>
        <v>0</v>
      </c>
      <c r="J42" s="352"/>
      <c r="K42" s="377" t="str">
        <f>IFERROR(G42*$F$42*I42/1000,"")</f>
        <v/>
      </c>
      <c r="L42" s="369"/>
    </row>
    <row r="43" spans="1:12" x14ac:dyDescent="0.25">
      <c r="B43" s="419"/>
      <c r="C43" s="19" t="s">
        <v>148</v>
      </c>
      <c r="D43" s="262">
        <f>D42</f>
        <v>0</v>
      </c>
      <c r="E43" s="195"/>
      <c r="F43" s="263"/>
      <c r="G43" s="265" t="str">
        <f>IFERROR(D43*E43*F43/$F$42*0.336,"")</f>
        <v/>
      </c>
      <c r="H43" s="88"/>
      <c r="I43" s="372">
        <f>IFERROR(I42-I42*H43/100,"")</f>
        <v>0</v>
      </c>
      <c r="J43" s="373"/>
      <c r="K43" s="377">
        <f>IFERROR(G43*$F$42*I43/1000,0)</f>
        <v>0</v>
      </c>
      <c r="L43" s="369"/>
    </row>
    <row r="44" spans="1:12" x14ac:dyDescent="0.25">
      <c r="B44" s="420"/>
      <c r="C44" s="19" t="s">
        <v>149</v>
      </c>
      <c r="D44" s="262">
        <f>D42</f>
        <v>0</v>
      </c>
      <c r="E44" s="195">
        <v>0.3</v>
      </c>
      <c r="F44" s="264">
        <f>F42</f>
        <v>0</v>
      </c>
      <c r="G44" s="265" t="str">
        <f>IFERROR(D44*E44*F44/$F$42*0.336,"")</f>
        <v/>
      </c>
      <c r="H44" s="93">
        <v>0</v>
      </c>
      <c r="I44" s="372">
        <f>I42</f>
        <v>0</v>
      </c>
      <c r="J44" s="352"/>
      <c r="K44" s="377" t="str">
        <f>IFERROR(G44*$F$42*I44/1000,"")</f>
        <v/>
      </c>
      <c r="L44" s="369"/>
    </row>
    <row r="45" spans="1:12" x14ac:dyDescent="0.25">
      <c r="B45" s="418">
        <v>2</v>
      </c>
      <c r="C45" s="19" t="s">
        <v>147</v>
      </c>
      <c r="D45" s="273">
        <f>K12</f>
        <v>0</v>
      </c>
      <c r="E45" s="195"/>
      <c r="F45" s="264">
        <f>K10*24</f>
        <v>0</v>
      </c>
      <c r="G45" s="265" t="str">
        <f>IFERROR(D45*E45*F45/$F$45*0.336,"")</f>
        <v/>
      </c>
      <c r="H45" s="93">
        <v>0</v>
      </c>
      <c r="I45" s="372">
        <f>K8-K9</f>
        <v>0</v>
      </c>
      <c r="J45" s="352"/>
      <c r="K45" s="377" t="str">
        <f>IFERROR(G45*$F$45*I45/1000,"")</f>
        <v/>
      </c>
      <c r="L45" s="369"/>
    </row>
    <row r="46" spans="1:12" x14ac:dyDescent="0.25">
      <c r="B46" s="419"/>
      <c r="C46" s="19" t="s">
        <v>148</v>
      </c>
      <c r="D46" s="262">
        <f>D45</f>
        <v>0</v>
      </c>
      <c r="E46" s="195"/>
      <c r="F46" s="263"/>
      <c r="G46" s="265" t="str">
        <f t="shared" ref="G46:G47" si="4">IFERROR(D46*E46*F46/$F$45*0.336,"")</f>
        <v/>
      </c>
      <c r="H46" s="88"/>
      <c r="I46" s="372">
        <f>IFERROR(I45-I45*H46/100,"")</f>
        <v>0</v>
      </c>
      <c r="J46" s="373"/>
      <c r="K46" s="377" t="str">
        <f t="shared" ref="K46:K47" si="5">IFERROR(G46*$F$45*I46/1000,"")</f>
        <v/>
      </c>
      <c r="L46" s="369"/>
    </row>
    <row r="47" spans="1:12" x14ac:dyDescent="0.25">
      <c r="B47" s="420"/>
      <c r="C47" s="19" t="s">
        <v>149</v>
      </c>
      <c r="D47" s="262">
        <f>D45</f>
        <v>0</v>
      </c>
      <c r="E47" s="195">
        <v>0.3</v>
      </c>
      <c r="F47" s="264">
        <f>F45</f>
        <v>0</v>
      </c>
      <c r="G47" s="265" t="str">
        <f t="shared" si="4"/>
        <v/>
      </c>
      <c r="H47" s="93">
        <v>0</v>
      </c>
      <c r="I47" s="372">
        <f>I45</f>
        <v>0</v>
      </c>
      <c r="J47" s="352"/>
      <c r="K47" s="377" t="str">
        <f t="shared" si="5"/>
        <v/>
      </c>
      <c r="L47" s="369"/>
    </row>
    <row r="48" spans="1:12" ht="15.6" customHeight="1" x14ac:dyDescent="0.25">
      <c r="A48" s="259"/>
      <c r="B48" s="376" t="s">
        <v>150</v>
      </c>
      <c r="C48" s="376"/>
      <c r="D48" s="376"/>
      <c r="E48" s="376"/>
      <c r="F48" s="376"/>
      <c r="G48" s="366" t="s">
        <v>151</v>
      </c>
      <c r="H48" s="366"/>
      <c r="I48" s="366"/>
      <c r="J48" s="367"/>
      <c r="K48" s="364">
        <f>SUM(K42:L47)</f>
        <v>0</v>
      </c>
      <c r="L48" s="365"/>
    </row>
    <row r="49" spans="1:12" ht="18.600000000000001" customHeight="1" x14ac:dyDescent="0.25">
      <c r="A49" s="65"/>
      <c r="B49" s="443" t="str">
        <f>IF(K43=0,"","Energoefektivitātes paaugstināšanas priekšlikumā jāiekļauj nosacījums par ēkas hermētiskuma testu, nodrošinot vismaz 1,5 m3/m2h pie 50Pa")</f>
        <v/>
      </c>
      <c r="C49" s="443"/>
      <c r="D49" s="443"/>
      <c r="E49" s="443"/>
      <c r="F49" s="443"/>
      <c r="G49" s="443"/>
      <c r="H49" s="443"/>
      <c r="I49" s="443"/>
      <c r="J49" s="443"/>
      <c r="K49" s="443"/>
      <c r="L49" s="443"/>
    </row>
    <row r="50" spans="1:12" ht="15.6" x14ac:dyDescent="0.25">
      <c r="B50" s="382" t="s">
        <v>191</v>
      </c>
      <c r="C50" s="382"/>
      <c r="D50" s="382"/>
      <c r="E50" s="382"/>
      <c r="F50" s="382"/>
      <c r="G50" s="382"/>
      <c r="H50" s="382"/>
      <c r="I50" s="382"/>
      <c r="J50" s="382"/>
      <c r="K50" s="382"/>
      <c r="L50" s="382"/>
    </row>
    <row r="51" spans="1:12" ht="24" customHeight="1" x14ac:dyDescent="0.25">
      <c r="B51" s="383" t="s">
        <v>153</v>
      </c>
      <c r="C51" s="354" t="s">
        <v>154</v>
      </c>
      <c r="D51" s="333" t="s">
        <v>155</v>
      </c>
      <c r="E51" s="334"/>
      <c r="F51" s="378" t="s">
        <v>156</v>
      </c>
      <c r="G51" s="378" t="s">
        <v>157</v>
      </c>
      <c r="H51" s="378" t="s">
        <v>158</v>
      </c>
      <c r="I51" s="378"/>
      <c r="J51" s="387" t="s">
        <v>159</v>
      </c>
      <c r="K51" s="387"/>
      <c r="L51" s="387"/>
    </row>
    <row r="52" spans="1:12" x14ac:dyDescent="0.25">
      <c r="B52" s="383"/>
      <c r="C52" s="354"/>
      <c r="D52" s="335" t="s">
        <v>160</v>
      </c>
      <c r="E52" s="336"/>
      <c r="F52" s="378"/>
      <c r="G52" s="378"/>
      <c r="H52" s="379" t="s">
        <v>161</v>
      </c>
      <c r="I52" s="379"/>
      <c r="J52" s="381" t="s">
        <v>112</v>
      </c>
      <c r="K52" s="381"/>
      <c r="L52" s="381"/>
    </row>
    <row r="53" spans="1:12" s="252" customFormat="1" ht="7.8" x14ac:dyDescent="0.15">
      <c r="B53" s="256">
        <v>1</v>
      </c>
      <c r="C53" s="250">
        <v>2</v>
      </c>
      <c r="D53" s="374">
        <v>3</v>
      </c>
      <c r="E53" s="375"/>
      <c r="F53" s="257">
        <v>4</v>
      </c>
      <c r="G53" s="258">
        <v>5</v>
      </c>
      <c r="H53" s="329">
        <v>6</v>
      </c>
      <c r="I53" s="330"/>
      <c r="J53" s="326">
        <v>7</v>
      </c>
      <c r="K53" s="327"/>
      <c r="L53" s="328"/>
    </row>
    <row r="54" spans="1:12" ht="14.4" customHeight="1" x14ac:dyDescent="0.25">
      <c r="A54" s="16"/>
      <c r="B54" s="60" t="s">
        <v>192</v>
      </c>
      <c r="C54" s="77" t="s">
        <v>163</v>
      </c>
      <c r="D54" s="337" t="str">
        <f>IF(F29="","",(#REF!+D55+D56+D57+D58)/(F29+F30+F31+F32))</f>
        <v/>
      </c>
      <c r="E54" s="338"/>
      <c r="F54" s="75"/>
      <c r="G54" s="18"/>
      <c r="H54" s="331"/>
      <c r="I54" s="332"/>
      <c r="J54" s="380" t="str">
        <f>IFERROR(D54*F54*G54*H54,"")</f>
        <v/>
      </c>
      <c r="K54" s="380"/>
      <c r="L54" s="380"/>
    </row>
    <row r="55" spans="1:12" x14ac:dyDescent="0.25">
      <c r="A55" s="16"/>
      <c r="B55" s="60" t="s">
        <v>193</v>
      </c>
      <c r="C55" s="77" t="s">
        <v>165</v>
      </c>
      <c r="D55" s="337" t="str">
        <f>IF(F30="","",(#REF!+D56+D57+D58+D59)/(F30+F31+F32+F33))</f>
        <v/>
      </c>
      <c r="E55" s="338"/>
      <c r="F55" s="75"/>
      <c r="G55" s="18"/>
      <c r="H55" s="331"/>
      <c r="I55" s="332"/>
      <c r="J55" s="380" t="str">
        <f t="shared" ref="J55:J58" si="6">IFERROR(D55*F55*G55*H55,"")</f>
        <v/>
      </c>
      <c r="K55" s="380"/>
      <c r="L55" s="380"/>
    </row>
    <row r="56" spans="1:12" x14ac:dyDescent="0.25">
      <c r="A56" s="16"/>
      <c r="B56" s="60" t="s">
        <v>194</v>
      </c>
      <c r="C56" s="77" t="s">
        <v>167</v>
      </c>
      <c r="D56" s="337" t="str">
        <f>IF(F31="","",(#REF!+D57+D58+D59+D60)/(F31+F32+F33+F34))</f>
        <v/>
      </c>
      <c r="E56" s="338"/>
      <c r="F56" s="75"/>
      <c r="G56" s="18"/>
      <c r="H56" s="331"/>
      <c r="I56" s="332"/>
      <c r="J56" s="380" t="str">
        <f t="shared" si="6"/>
        <v/>
      </c>
      <c r="K56" s="380"/>
      <c r="L56" s="380"/>
    </row>
    <row r="57" spans="1:12" x14ac:dyDescent="0.25">
      <c r="A57" s="16"/>
      <c r="B57" s="60" t="s">
        <v>195</v>
      </c>
      <c r="C57" s="77" t="s">
        <v>169</v>
      </c>
      <c r="D57" s="337" t="str">
        <f>IF(F32="","",(#REF!+D58+D59+D60+D61)/(F32+F33+F34+F35))</f>
        <v/>
      </c>
      <c r="E57" s="338"/>
      <c r="F57" s="75"/>
      <c r="G57" s="18"/>
      <c r="H57" s="331"/>
      <c r="I57" s="332"/>
      <c r="J57" s="380" t="str">
        <f t="shared" si="6"/>
        <v/>
      </c>
      <c r="K57" s="380"/>
      <c r="L57" s="380"/>
    </row>
    <row r="58" spans="1:12" x14ac:dyDescent="0.25">
      <c r="A58" s="16"/>
      <c r="B58" s="60" t="s">
        <v>196</v>
      </c>
      <c r="C58" s="77" t="s">
        <v>171</v>
      </c>
      <c r="D58" s="337" t="str">
        <f>IF(F33="","",(#REF!+D59+D60+D61+D62)/(F33+F34+F35+F36))</f>
        <v/>
      </c>
      <c r="E58" s="338"/>
      <c r="F58" s="78"/>
      <c r="G58" s="76"/>
      <c r="H58" s="331"/>
      <c r="I58" s="332"/>
      <c r="J58" s="380" t="str">
        <f t="shared" si="6"/>
        <v/>
      </c>
      <c r="K58" s="380"/>
      <c r="L58" s="380"/>
    </row>
    <row r="59" spans="1:12" ht="13.95" customHeight="1" x14ac:dyDescent="0.25">
      <c r="A59" s="16"/>
      <c r="B59" s="60" t="s">
        <v>197</v>
      </c>
      <c r="C59" s="384" t="s">
        <v>173</v>
      </c>
      <c r="D59" s="385"/>
      <c r="E59" s="385"/>
      <c r="F59" s="385"/>
      <c r="G59" s="385"/>
      <c r="H59" s="385"/>
      <c r="I59" s="386"/>
      <c r="J59" s="426"/>
      <c r="K59" s="426"/>
      <c r="L59" s="426"/>
    </row>
    <row r="60" spans="1:12" ht="15.6" x14ac:dyDescent="0.25">
      <c r="A60" s="421" t="s">
        <v>174</v>
      </c>
      <c r="B60" s="421"/>
      <c r="C60" s="421"/>
      <c r="D60" s="421"/>
      <c r="E60" s="421"/>
      <c r="F60" s="421"/>
      <c r="G60" s="421"/>
      <c r="H60" s="421"/>
      <c r="I60" s="421"/>
      <c r="J60" s="422">
        <f>SUM(J54:L59)</f>
        <v>0</v>
      </c>
      <c r="K60" s="422"/>
      <c r="L60" s="422"/>
    </row>
    <row r="61" spans="1:12" ht="15.6" x14ac:dyDescent="0.25">
      <c r="A61" s="59"/>
      <c r="B61" s="382" t="s">
        <v>198</v>
      </c>
      <c r="C61" s="382"/>
      <c r="D61" s="382"/>
      <c r="E61" s="382"/>
      <c r="F61" s="382"/>
      <c r="G61" s="382"/>
      <c r="H61" s="382"/>
      <c r="I61" s="382"/>
      <c r="J61" s="382"/>
      <c r="K61" s="382"/>
      <c r="L61" s="382"/>
    </row>
    <row r="62" spans="1:12" ht="13.95" customHeight="1" x14ac:dyDescent="0.25">
      <c r="B62" s="349" t="s">
        <v>176</v>
      </c>
      <c r="C62" s="345" t="s">
        <v>177</v>
      </c>
      <c r="D62" s="346"/>
      <c r="E62" s="378" t="s">
        <v>178</v>
      </c>
      <c r="F62" s="378"/>
      <c r="G62" s="378"/>
      <c r="H62" s="378" t="s">
        <v>179</v>
      </c>
      <c r="I62" s="378"/>
      <c r="J62" s="425" t="s">
        <v>180</v>
      </c>
      <c r="K62" s="425"/>
      <c r="L62" s="425"/>
    </row>
    <row r="63" spans="1:12" s="74" customFormat="1" ht="12.6" x14ac:dyDescent="0.2">
      <c r="A63" s="79"/>
      <c r="B63" s="350"/>
      <c r="C63" s="347" t="s">
        <v>181</v>
      </c>
      <c r="D63" s="348"/>
      <c r="E63" s="424" t="s">
        <v>182</v>
      </c>
      <c r="F63" s="424"/>
      <c r="G63" s="424"/>
      <c r="H63" s="379" t="s">
        <v>93</v>
      </c>
      <c r="I63" s="379"/>
      <c r="J63" s="423" t="s">
        <v>112</v>
      </c>
      <c r="K63" s="423"/>
      <c r="L63" s="423"/>
    </row>
    <row r="64" spans="1:12" s="252" customFormat="1" ht="7.8" x14ac:dyDescent="0.15">
      <c r="A64" s="261"/>
      <c r="B64" s="250">
        <v>1</v>
      </c>
      <c r="C64" s="329">
        <v>2</v>
      </c>
      <c r="D64" s="330"/>
      <c r="E64" s="427">
        <v>3</v>
      </c>
      <c r="F64" s="427"/>
      <c r="G64" s="427"/>
      <c r="H64" s="400">
        <v>4</v>
      </c>
      <c r="I64" s="400"/>
      <c r="J64" s="353">
        <v>5</v>
      </c>
      <c r="K64" s="353"/>
      <c r="L64" s="353"/>
    </row>
    <row r="65" spans="1:12" s="80" customFormat="1" ht="13.2" x14ac:dyDescent="0.25">
      <c r="A65" s="277"/>
      <c r="B65" s="278">
        <v>1</v>
      </c>
      <c r="C65" s="351">
        <f>J10*24</f>
        <v>0</v>
      </c>
      <c r="D65" s="352"/>
      <c r="E65" s="440">
        <f>'2.lapa_Esošā situācija'!E65</f>
        <v>0</v>
      </c>
      <c r="F65" s="441"/>
      <c r="G65" s="442"/>
      <c r="H65" s="342">
        <f>IF(J11="","",J11)</f>
        <v>0</v>
      </c>
      <c r="I65" s="343"/>
      <c r="J65" s="344">
        <f>IFERROR(C65*E65*H65/1000,"")</f>
        <v>0</v>
      </c>
      <c r="K65" s="344"/>
      <c r="L65" s="344"/>
    </row>
    <row r="66" spans="1:12" s="80" customFormat="1" ht="13.2" x14ac:dyDescent="0.25">
      <c r="A66" s="277"/>
      <c r="B66" s="278">
        <v>2</v>
      </c>
      <c r="C66" s="351">
        <f>K10*24</f>
        <v>0</v>
      </c>
      <c r="D66" s="352"/>
      <c r="E66" s="440">
        <f>'2.lapa_Esošā situācija'!E66</f>
        <v>0</v>
      </c>
      <c r="F66" s="441"/>
      <c r="G66" s="442"/>
      <c r="H66" s="342">
        <f>IF(K11="","",K11)</f>
        <v>0</v>
      </c>
      <c r="I66" s="343"/>
      <c r="J66" s="344">
        <f>IFERROR(C66*E66*H66/1000,0)</f>
        <v>0</v>
      </c>
      <c r="K66" s="344"/>
      <c r="L66" s="344"/>
    </row>
    <row r="67" spans="1:12" s="81" customFormat="1" ht="15.6" x14ac:dyDescent="0.3">
      <c r="A67" s="66"/>
      <c r="B67" s="404" t="s">
        <v>199</v>
      </c>
      <c r="C67" s="405"/>
      <c r="D67" s="405"/>
      <c r="E67" s="406"/>
      <c r="F67" s="406"/>
      <c r="G67" s="406"/>
      <c r="H67" s="405"/>
      <c r="I67" s="407"/>
      <c r="J67" s="415"/>
      <c r="K67" s="416"/>
      <c r="L67" s="417"/>
    </row>
    <row r="68" spans="1:12" ht="7.95" customHeight="1" x14ac:dyDescent="0.25">
      <c r="A68" s="65"/>
      <c r="B68" s="66"/>
      <c r="C68" s="67"/>
      <c r="D68" s="67"/>
      <c r="E68" s="67"/>
      <c r="F68" s="10"/>
      <c r="G68" s="68"/>
      <c r="H68" s="68"/>
      <c r="I68" s="69" t="s">
        <v>184</v>
      </c>
      <c r="J68" s="68"/>
      <c r="K68" s="70"/>
      <c r="L68" s="69"/>
    </row>
    <row r="69" spans="1:12" x14ac:dyDescent="0.25">
      <c r="A69" s="16"/>
      <c r="B69" s="59"/>
      <c r="C69" s="59"/>
      <c r="D69" s="59"/>
      <c r="E69" s="59"/>
      <c r="F69" s="59"/>
      <c r="G69" s="59"/>
      <c r="H69" s="408" t="s">
        <v>185</v>
      </c>
      <c r="I69" s="408"/>
      <c r="J69" s="409" t="s">
        <v>112</v>
      </c>
      <c r="K69" s="409"/>
      <c r="L69" s="409"/>
    </row>
    <row r="70" spans="1:12" s="82" customFormat="1" ht="18" x14ac:dyDescent="0.35">
      <c r="A70" s="65"/>
      <c r="B70" s="160" t="s">
        <v>200</v>
      </c>
      <c r="C70" s="412" t="s">
        <v>187</v>
      </c>
      <c r="D70" s="413"/>
      <c r="E70" s="413"/>
      <c r="F70" s="413"/>
      <c r="G70" s="414"/>
      <c r="H70" s="411" t="str">
        <f>IFERROR(J70/(J11+K11),"")</f>
        <v/>
      </c>
      <c r="I70" s="411"/>
      <c r="J70" s="410">
        <f>IFERROR(K37+K48-(J60+J65+J66)*J67,"")</f>
        <v>0</v>
      </c>
      <c r="K70" s="410"/>
      <c r="L70" s="410"/>
    </row>
  </sheetData>
  <mergeCells count="155">
    <mergeCell ref="D57:E57"/>
    <mergeCell ref="D58:E58"/>
    <mergeCell ref="C59:I59"/>
    <mergeCell ref="A60:I60"/>
    <mergeCell ref="B61:L61"/>
    <mergeCell ref="E62:G62"/>
    <mergeCell ref="E63:G63"/>
    <mergeCell ref="B49:L49"/>
    <mergeCell ref="A1:L1"/>
    <mergeCell ref="A2:L2"/>
    <mergeCell ref="D8:F8"/>
    <mergeCell ref="I41:J41"/>
    <mergeCell ref="K41:L41"/>
    <mergeCell ref="B42:B44"/>
    <mergeCell ref="I42:J42"/>
    <mergeCell ref="K42:L42"/>
    <mergeCell ref="I43:J43"/>
    <mergeCell ref="B13:L13"/>
    <mergeCell ref="B14:C15"/>
    <mergeCell ref="K14:L14"/>
    <mergeCell ref="K15:L15"/>
    <mergeCell ref="B16:C16"/>
    <mergeCell ref="K16:L16"/>
    <mergeCell ref="B17:C17"/>
    <mergeCell ref="H57:I57"/>
    <mergeCell ref="J57:L57"/>
    <mergeCell ref="J51:L51"/>
    <mergeCell ref="J52:L52"/>
    <mergeCell ref="J53:L53"/>
    <mergeCell ref="J54:L54"/>
    <mergeCell ref="J60:L60"/>
    <mergeCell ref="H63:I63"/>
    <mergeCell ref="J63:L63"/>
    <mergeCell ref="H62:I62"/>
    <mergeCell ref="J62:L62"/>
    <mergeCell ref="J55:L55"/>
    <mergeCell ref="H58:I58"/>
    <mergeCell ref="J58:L58"/>
    <mergeCell ref="J59:L59"/>
    <mergeCell ref="H53:I53"/>
    <mergeCell ref="K17:L17"/>
    <mergeCell ref="D3:E3"/>
    <mergeCell ref="F3:G3"/>
    <mergeCell ref="H3:I3"/>
    <mergeCell ref="J3:K3"/>
    <mergeCell ref="C5:C6"/>
    <mergeCell ref="F5:F6"/>
    <mergeCell ref="G5:G6"/>
    <mergeCell ref="H5:H6"/>
    <mergeCell ref="I5:I6"/>
    <mergeCell ref="H10:I10"/>
    <mergeCell ref="E11:F11"/>
    <mergeCell ref="C12:D12"/>
    <mergeCell ref="E12:F12"/>
    <mergeCell ref="D9:E9"/>
    <mergeCell ref="D10:E10"/>
    <mergeCell ref="B18:C18"/>
    <mergeCell ref="K18:L18"/>
    <mergeCell ref="B19:C19"/>
    <mergeCell ref="K19:L19"/>
    <mergeCell ref="B20:C20"/>
    <mergeCell ref="K20:L20"/>
    <mergeCell ref="B21:C21"/>
    <mergeCell ref="K21:L21"/>
    <mergeCell ref="B22:C22"/>
    <mergeCell ref="K22:L22"/>
    <mergeCell ref="B23:C23"/>
    <mergeCell ref="K23:L23"/>
    <mergeCell ref="B24:C24"/>
    <mergeCell ref="K24:L24"/>
    <mergeCell ref="B25:C25"/>
    <mergeCell ref="K25:L25"/>
    <mergeCell ref="B26:C26"/>
    <mergeCell ref="K26:L26"/>
    <mergeCell ref="B27:C27"/>
    <mergeCell ref="K27:L27"/>
    <mergeCell ref="B33:C33"/>
    <mergeCell ref="K33:L33"/>
    <mergeCell ref="B34:C34"/>
    <mergeCell ref="K34:L34"/>
    <mergeCell ref="B35:C35"/>
    <mergeCell ref="K35:L35"/>
    <mergeCell ref="B36:C36"/>
    <mergeCell ref="K36:L36"/>
    <mergeCell ref="B28:C28"/>
    <mergeCell ref="K28:L28"/>
    <mergeCell ref="B29:C29"/>
    <mergeCell ref="K29:L29"/>
    <mergeCell ref="B30:C30"/>
    <mergeCell ref="K30:L30"/>
    <mergeCell ref="B31:C31"/>
    <mergeCell ref="K31:L31"/>
    <mergeCell ref="B32:C32"/>
    <mergeCell ref="K32:L32"/>
    <mergeCell ref="A37:J37"/>
    <mergeCell ref="K37:L37"/>
    <mergeCell ref="G38:H38"/>
    <mergeCell ref="B39:B40"/>
    <mergeCell ref="C39:C40"/>
    <mergeCell ref="I39:J39"/>
    <mergeCell ref="K39:L39"/>
    <mergeCell ref="I40:J40"/>
    <mergeCell ref="K40:L40"/>
    <mergeCell ref="K43:L43"/>
    <mergeCell ref="I44:J44"/>
    <mergeCell ref="K44:L44"/>
    <mergeCell ref="B45:B47"/>
    <mergeCell ref="I45:J45"/>
    <mergeCell ref="K45:L45"/>
    <mergeCell ref="I46:J46"/>
    <mergeCell ref="K46:L46"/>
    <mergeCell ref="I47:J47"/>
    <mergeCell ref="K47:L47"/>
    <mergeCell ref="D54:E54"/>
    <mergeCell ref="H54:I54"/>
    <mergeCell ref="D55:E55"/>
    <mergeCell ref="H55:I55"/>
    <mergeCell ref="D56:E56"/>
    <mergeCell ref="H56:I56"/>
    <mergeCell ref="J56:L56"/>
    <mergeCell ref="B48:F48"/>
    <mergeCell ref="G48:J48"/>
    <mergeCell ref="K48:L48"/>
    <mergeCell ref="B50:L50"/>
    <mergeCell ref="B51:B52"/>
    <mergeCell ref="C51:C52"/>
    <mergeCell ref="D51:E51"/>
    <mergeCell ref="F51:F52"/>
    <mergeCell ref="G51:G52"/>
    <mergeCell ref="H51:I51"/>
    <mergeCell ref="D52:E52"/>
    <mergeCell ref="H52:I52"/>
    <mergeCell ref="D53:E53"/>
    <mergeCell ref="H69:I69"/>
    <mergeCell ref="J69:L69"/>
    <mergeCell ref="C70:G70"/>
    <mergeCell ref="H70:I70"/>
    <mergeCell ref="J70:L70"/>
    <mergeCell ref="B62:B63"/>
    <mergeCell ref="C62:D62"/>
    <mergeCell ref="C63:D63"/>
    <mergeCell ref="C64:D64"/>
    <mergeCell ref="C65:D65"/>
    <mergeCell ref="C66:D66"/>
    <mergeCell ref="E66:G66"/>
    <mergeCell ref="H66:I66"/>
    <mergeCell ref="J66:L66"/>
    <mergeCell ref="E64:G64"/>
    <mergeCell ref="H64:I64"/>
    <mergeCell ref="J64:L64"/>
    <mergeCell ref="E65:G65"/>
    <mergeCell ref="J65:L65"/>
    <mergeCell ref="B67:I67"/>
    <mergeCell ref="J67:L67"/>
    <mergeCell ref="H65:I65"/>
  </mergeCells>
  <phoneticPr fontId="41" type="noConversion"/>
  <dataValidations count="1">
    <dataValidation type="list" allowBlank="1" showInputMessage="1" showErrorMessage="1" sqref="C42:C47" xr:uid="{00000000-0002-0000-0200-000000000000}">
      <formula1>"Dabiskā,Mehāniskā,Infiltrācija"</formula1>
    </dataValidation>
  </dataValidations>
  <printOptions horizontalCentered="1"/>
  <pageMargins left="0.11811023622047245" right="0.11811023622047245" top="0.35433070866141736" bottom="0.35433070866141736" header="0.31496062992125984" footer="0.31496062992125984"/>
  <pageSetup paperSize="9" scale="76" orientation="portrait" horizontalDpi="1200" verticalDpi="1200"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P27"/>
  <sheetViews>
    <sheetView topLeftCell="A4" workbookViewId="0">
      <selection activeCell="S22" sqref="S21:S22"/>
    </sheetView>
  </sheetViews>
  <sheetFormatPr defaultColWidth="8.88671875" defaultRowHeight="13.8" x14ac:dyDescent="0.25"/>
  <cols>
    <col min="1" max="1" width="6.33203125" style="1" bestFit="1" customWidth="1"/>
    <col min="2" max="2" width="31.6640625" style="1" bestFit="1" customWidth="1"/>
    <col min="3" max="14" width="7.33203125" style="1" customWidth="1"/>
    <col min="15" max="15" width="9.33203125" style="1" customWidth="1"/>
    <col min="16" max="16" width="7.44140625" style="1" bestFit="1" customWidth="1"/>
    <col min="17" max="16384" width="8.88671875" style="1"/>
  </cols>
  <sheetData>
    <row r="1" spans="1:16" ht="39.6" customHeight="1" x14ac:dyDescent="0.25">
      <c r="A1" s="444" t="s">
        <v>201</v>
      </c>
      <c r="B1" s="445"/>
      <c r="C1" s="445"/>
      <c r="D1" s="445"/>
      <c r="E1" s="445"/>
      <c r="F1" s="445"/>
      <c r="G1" s="445"/>
      <c r="H1" s="445"/>
      <c r="I1" s="445"/>
      <c r="J1" s="445"/>
      <c r="K1" s="445"/>
      <c r="L1" s="445"/>
      <c r="M1" s="445"/>
      <c r="N1" s="445"/>
      <c r="O1" s="445"/>
      <c r="P1" s="446"/>
    </row>
    <row r="2" spans="1:16" ht="27.6" customHeight="1" x14ac:dyDescent="0.25">
      <c r="B2" s="452" t="s">
        <v>202</v>
      </c>
      <c r="C2" s="452"/>
      <c r="D2" s="452"/>
      <c r="E2" s="452"/>
      <c r="F2" s="452"/>
      <c r="G2" s="452"/>
      <c r="H2" s="452"/>
      <c r="I2" s="452"/>
      <c r="J2" s="452"/>
      <c r="K2" s="452"/>
      <c r="L2" s="452"/>
      <c r="M2" s="452"/>
      <c r="N2" s="452"/>
      <c r="O2" s="452"/>
      <c r="P2" s="452"/>
    </row>
    <row r="3" spans="1:16" ht="15.6" x14ac:dyDescent="0.3">
      <c r="A3" s="245" t="s">
        <v>203</v>
      </c>
      <c r="B3" s="447" t="s">
        <v>204</v>
      </c>
      <c r="C3" s="447"/>
      <c r="D3" s="447"/>
      <c r="E3" s="447"/>
      <c r="F3" s="447"/>
      <c r="G3" s="447"/>
      <c r="H3" s="447"/>
      <c r="I3" s="447"/>
      <c r="J3" s="447"/>
      <c r="K3" s="447"/>
      <c r="L3" s="447"/>
      <c r="M3" s="447"/>
      <c r="N3" s="447"/>
      <c r="O3" s="447"/>
      <c r="P3" s="447"/>
    </row>
    <row r="4" spans="1:16" ht="15.6" x14ac:dyDescent="0.25">
      <c r="A4" s="178" t="s">
        <v>153</v>
      </c>
      <c r="B4" s="174" t="s">
        <v>205</v>
      </c>
      <c r="C4" s="228" t="s">
        <v>206</v>
      </c>
      <c r="D4" s="170" t="s">
        <v>207</v>
      </c>
      <c r="E4" s="170" t="s">
        <v>208</v>
      </c>
      <c r="F4" s="170" t="s">
        <v>209</v>
      </c>
      <c r="G4" s="170" t="s">
        <v>210</v>
      </c>
      <c r="H4" s="170" t="s">
        <v>211</v>
      </c>
      <c r="I4" s="170" t="s">
        <v>212</v>
      </c>
      <c r="J4" s="170" t="s">
        <v>213</v>
      </c>
      <c r="K4" s="170" t="s">
        <v>214</v>
      </c>
      <c r="L4" s="170" t="s">
        <v>215</v>
      </c>
      <c r="M4" s="170" t="s">
        <v>216</v>
      </c>
      <c r="N4" s="174" t="s">
        <v>217</v>
      </c>
      <c r="O4" s="450" t="s">
        <v>218</v>
      </c>
      <c r="P4" s="451"/>
    </row>
    <row r="5" spans="1:16" ht="15.6" x14ac:dyDescent="0.35">
      <c r="A5" s="92" t="s">
        <v>219</v>
      </c>
      <c r="B5" s="165" t="s">
        <v>220</v>
      </c>
      <c r="C5" s="227"/>
      <c r="D5" s="227"/>
      <c r="E5" s="227"/>
      <c r="F5" s="227"/>
      <c r="G5" s="227"/>
      <c r="H5" s="227"/>
      <c r="I5" s="227"/>
      <c r="J5" s="227"/>
      <c r="K5" s="227"/>
      <c r="L5" s="227"/>
      <c r="M5" s="227"/>
      <c r="N5" s="227"/>
      <c r="O5" s="225" t="str">
        <f>IFERROR(AVERAGE(C5:N5),"")</f>
        <v/>
      </c>
      <c r="P5" s="171" t="s">
        <v>88</v>
      </c>
    </row>
    <row r="6" spans="1:16" ht="15.6" x14ac:dyDescent="0.25">
      <c r="A6" s="175" t="s">
        <v>221</v>
      </c>
      <c r="B6" s="166" t="s">
        <v>222</v>
      </c>
      <c r="C6" s="227"/>
      <c r="D6" s="227"/>
      <c r="E6" s="227"/>
      <c r="F6" s="227"/>
      <c r="G6" s="227"/>
      <c r="H6" s="227"/>
      <c r="I6" s="227"/>
      <c r="J6" s="227"/>
      <c r="K6" s="227"/>
      <c r="L6" s="227"/>
      <c r="M6" s="227"/>
      <c r="N6" s="227"/>
      <c r="O6" s="226">
        <f>SUM(C6:N6)</f>
        <v>0</v>
      </c>
      <c r="P6" s="169" t="s">
        <v>223</v>
      </c>
    </row>
    <row r="7" spans="1:16" ht="15.6" x14ac:dyDescent="0.35">
      <c r="A7" s="176" t="s">
        <v>224</v>
      </c>
      <c r="B7" s="167" t="s">
        <v>225</v>
      </c>
      <c r="C7" s="212"/>
      <c r="D7" s="212"/>
      <c r="E7" s="212"/>
      <c r="F7" s="212"/>
      <c r="G7" s="212"/>
      <c r="H7" s="212"/>
      <c r="I7" s="212"/>
      <c r="J7" s="212"/>
      <c r="K7" s="212"/>
      <c r="L7" s="212"/>
      <c r="M7" s="212"/>
      <c r="N7" s="212"/>
      <c r="O7" s="211">
        <f t="shared" ref="O7" si="0">SUM(C7:N7)</f>
        <v>0</v>
      </c>
      <c r="P7" s="167" t="s">
        <v>226</v>
      </c>
    </row>
    <row r="8" spans="1:16" ht="15.6" x14ac:dyDescent="0.35">
      <c r="A8" s="176" t="s">
        <v>227</v>
      </c>
      <c r="B8" s="167" t="s">
        <v>228</v>
      </c>
      <c r="C8" s="212"/>
      <c r="D8" s="212"/>
      <c r="E8" s="212"/>
      <c r="F8" s="212"/>
      <c r="G8" s="212"/>
      <c r="H8" s="212"/>
      <c r="I8" s="212"/>
      <c r="J8" s="212"/>
      <c r="K8" s="212"/>
      <c r="L8" s="212"/>
      <c r="M8" s="212"/>
      <c r="N8" s="212"/>
      <c r="O8" s="211">
        <f t="shared" ref="O8" si="1">SUM(C8:N8)</f>
        <v>0</v>
      </c>
      <c r="P8" s="167" t="s">
        <v>226</v>
      </c>
    </row>
    <row r="9" spans="1:16" ht="15.6" x14ac:dyDescent="0.35">
      <c r="A9" s="176" t="s">
        <v>229</v>
      </c>
      <c r="B9" s="167" t="s">
        <v>230</v>
      </c>
      <c r="C9" s="158">
        <f>C7+C8</f>
        <v>0</v>
      </c>
      <c r="D9" s="172">
        <f t="shared" ref="D9:N9" si="2">D7+D8</f>
        <v>0</v>
      </c>
      <c r="E9" s="172">
        <f t="shared" si="2"/>
        <v>0</v>
      </c>
      <c r="F9" s="172">
        <f t="shared" si="2"/>
        <v>0</v>
      </c>
      <c r="G9" s="172">
        <f t="shared" si="2"/>
        <v>0</v>
      </c>
      <c r="H9" s="172">
        <f t="shared" si="2"/>
        <v>0</v>
      </c>
      <c r="I9" s="172">
        <f t="shared" si="2"/>
        <v>0</v>
      </c>
      <c r="J9" s="172">
        <f t="shared" si="2"/>
        <v>0</v>
      </c>
      <c r="K9" s="172">
        <f t="shared" si="2"/>
        <v>0</v>
      </c>
      <c r="L9" s="172">
        <f t="shared" si="2"/>
        <v>0</v>
      </c>
      <c r="M9" s="172">
        <f t="shared" si="2"/>
        <v>0</v>
      </c>
      <c r="N9" s="229">
        <f t="shared" si="2"/>
        <v>0</v>
      </c>
      <c r="O9" s="211">
        <f t="shared" ref="O9" si="3">SUM(C9:N9)</f>
        <v>0</v>
      </c>
      <c r="P9" s="167" t="s">
        <v>226</v>
      </c>
    </row>
    <row r="10" spans="1:16" ht="15.6" x14ac:dyDescent="0.35">
      <c r="A10" s="177" t="s">
        <v>231</v>
      </c>
      <c r="B10" s="168" t="s">
        <v>232</v>
      </c>
      <c r="C10" s="212"/>
      <c r="D10" s="212"/>
      <c r="E10" s="212"/>
      <c r="F10" s="212"/>
      <c r="G10" s="212"/>
      <c r="H10" s="212"/>
      <c r="I10" s="212"/>
      <c r="J10" s="212"/>
      <c r="K10" s="212"/>
      <c r="L10" s="212"/>
      <c r="M10" s="212"/>
      <c r="N10" s="212"/>
      <c r="O10" s="213">
        <f>SUM(C10:N10)</f>
        <v>0</v>
      </c>
      <c r="P10" s="168" t="s">
        <v>226</v>
      </c>
    </row>
    <row r="11" spans="1:16" ht="15.6" x14ac:dyDescent="0.35">
      <c r="A11" s="176" t="s">
        <v>233</v>
      </c>
      <c r="B11" s="167" t="s">
        <v>234</v>
      </c>
      <c r="C11" s="212"/>
      <c r="D11" s="212"/>
      <c r="E11" s="212"/>
      <c r="F11" s="212"/>
      <c r="G11" s="212"/>
      <c r="H11" s="212"/>
      <c r="I11" s="212"/>
      <c r="J11" s="212"/>
      <c r="K11" s="212"/>
      <c r="L11" s="212"/>
      <c r="M11" s="212"/>
      <c r="N11" s="212"/>
      <c r="O11" s="211">
        <f>SUM(C11:N11)</f>
        <v>0</v>
      </c>
      <c r="P11" s="167" t="s">
        <v>226</v>
      </c>
    </row>
    <row r="12" spans="1:16" ht="15.6" x14ac:dyDescent="0.35">
      <c r="A12" s="176" t="s">
        <v>235</v>
      </c>
      <c r="B12" s="167" t="s">
        <v>236</v>
      </c>
      <c r="C12" s="158">
        <f>C10+C11</f>
        <v>0</v>
      </c>
      <c r="D12" s="172">
        <f t="shared" ref="D12:N12" si="4">D10+D11</f>
        <v>0</v>
      </c>
      <c r="E12" s="172">
        <f t="shared" si="4"/>
        <v>0</v>
      </c>
      <c r="F12" s="172">
        <f t="shared" si="4"/>
        <v>0</v>
      </c>
      <c r="G12" s="172">
        <f t="shared" si="4"/>
        <v>0</v>
      </c>
      <c r="H12" s="172">
        <f t="shared" si="4"/>
        <v>0</v>
      </c>
      <c r="I12" s="172">
        <f t="shared" si="4"/>
        <v>0</v>
      </c>
      <c r="J12" s="172">
        <f t="shared" si="4"/>
        <v>0</v>
      </c>
      <c r="K12" s="172">
        <f t="shared" si="4"/>
        <v>0</v>
      </c>
      <c r="L12" s="172">
        <f t="shared" si="4"/>
        <v>0</v>
      </c>
      <c r="M12" s="172">
        <f t="shared" si="4"/>
        <v>0</v>
      </c>
      <c r="N12" s="229">
        <f t="shared" si="4"/>
        <v>0</v>
      </c>
      <c r="O12" s="211">
        <f>SUM(C12:N12)</f>
        <v>0</v>
      </c>
      <c r="P12" s="167" t="s">
        <v>226</v>
      </c>
    </row>
    <row r="13" spans="1:16" x14ac:dyDescent="0.25">
      <c r="A13" s="175" t="s">
        <v>237</v>
      </c>
      <c r="B13" s="169" t="s">
        <v>238</v>
      </c>
      <c r="C13" s="215"/>
      <c r="D13" s="215"/>
      <c r="E13" s="215"/>
      <c r="F13" s="215"/>
      <c r="G13" s="215"/>
      <c r="H13" s="215"/>
      <c r="I13" s="215"/>
      <c r="J13" s="215"/>
      <c r="K13" s="215"/>
      <c r="L13" s="215"/>
      <c r="M13" s="215"/>
      <c r="N13" s="215"/>
      <c r="O13" s="214" t="str">
        <f>IFERROR(AVERAGE(C13:N13),"")</f>
        <v/>
      </c>
      <c r="P13" s="169"/>
    </row>
    <row r="14" spans="1:16" ht="15.6" x14ac:dyDescent="0.35">
      <c r="A14" s="92" t="s">
        <v>239</v>
      </c>
      <c r="B14" s="197" t="s">
        <v>240</v>
      </c>
      <c r="C14" s="221">
        <f>C9-C12*C13</f>
        <v>0</v>
      </c>
      <c r="D14" s="159">
        <f t="shared" ref="D14:N14" si="5">D9-D12*D13</f>
        <v>0</v>
      </c>
      <c r="E14" s="159">
        <f t="shared" si="5"/>
        <v>0</v>
      </c>
      <c r="F14" s="159">
        <f t="shared" si="5"/>
        <v>0</v>
      </c>
      <c r="G14" s="159">
        <f t="shared" si="5"/>
        <v>0</v>
      </c>
      <c r="H14" s="159">
        <f t="shared" si="5"/>
        <v>0</v>
      </c>
      <c r="I14" s="159">
        <f t="shared" si="5"/>
        <v>0</v>
      </c>
      <c r="J14" s="159">
        <f t="shared" si="5"/>
        <v>0</v>
      </c>
      <c r="K14" s="159">
        <f t="shared" si="5"/>
        <v>0</v>
      </c>
      <c r="L14" s="159">
        <f t="shared" si="5"/>
        <v>0</v>
      </c>
      <c r="M14" s="159">
        <f t="shared" si="5"/>
        <v>0</v>
      </c>
      <c r="N14" s="222">
        <f t="shared" si="5"/>
        <v>0</v>
      </c>
      <c r="O14" s="219">
        <f>SUM(C14:N14)</f>
        <v>0</v>
      </c>
      <c r="P14" s="197" t="s">
        <v>226</v>
      </c>
    </row>
    <row r="15" spans="1:16" x14ac:dyDescent="0.25">
      <c r="A15" s="175" t="s">
        <v>241</v>
      </c>
      <c r="B15" s="196" t="s">
        <v>242</v>
      </c>
      <c r="C15" s="223" t="str">
        <f>IFERROR(C14/('2.lapa_Esošā situācija'!$J$11+'2.lapa_Esošā situācija'!$K$11),"")</f>
        <v/>
      </c>
      <c r="D15" s="173" t="str">
        <f>IFERROR(D14/('2.lapa_Esošā situācija'!$J$11+'2.lapa_Esošā situācija'!$K$11),"")</f>
        <v/>
      </c>
      <c r="E15" s="173" t="str">
        <f>IFERROR(E14/('2.lapa_Esošā situācija'!$J$11+'2.lapa_Esošā situācija'!$K$11),"")</f>
        <v/>
      </c>
      <c r="F15" s="173" t="str">
        <f>IFERROR(F14/('2.lapa_Esošā situācija'!$J$11+'2.lapa_Esošā situācija'!$K$11),"")</f>
        <v/>
      </c>
      <c r="G15" s="173" t="str">
        <f>IFERROR(G14/('2.lapa_Esošā situācija'!$J$11+'2.lapa_Esošā situācija'!$K$11),"")</f>
        <v/>
      </c>
      <c r="H15" s="173" t="str">
        <f>IFERROR(H14/('2.lapa_Esošā situācija'!$J$11+'2.lapa_Esošā situācija'!$K$11),"")</f>
        <v/>
      </c>
      <c r="I15" s="173" t="str">
        <f>IFERROR(I14/('2.lapa_Esošā situācija'!$J$11+'2.lapa_Esošā situācija'!$K$11),"")</f>
        <v/>
      </c>
      <c r="J15" s="173" t="str">
        <f>IFERROR(J14/('2.lapa_Esošā situācija'!$J$11+'2.lapa_Esošā situācija'!$K$11),"")</f>
        <v/>
      </c>
      <c r="K15" s="173" t="str">
        <f>IFERROR(K14/('2.lapa_Esošā situācija'!$J$11+'2.lapa_Esošā situācija'!$K$11),"")</f>
        <v/>
      </c>
      <c r="L15" s="173" t="str">
        <f>IFERROR(L14/('2.lapa_Esošā situācija'!$J$11+'2.lapa_Esošā situācija'!$K$11),"")</f>
        <v/>
      </c>
      <c r="M15" s="173" t="str">
        <f>IFERROR(M14/('2.lapa_Esošā situācija'!$J$11+'2.lapa_Esošā situācija'!$K$11),"")</f>
        <v/>
      </c>
      <c r="N15" s="173" t="str">
        <f>IFERROR(N14/('2.lapa_Esošā situācija'!$J$11+'2.lapa_Esošā situācija'!$K$11),"")</f>
        <v/>
      </c>
      <c r="O15" s="280">
        <f>SUM(C15:N15)</f>
        <v>0</v>
      </c>
      <c r="P15" s="197" t="s">
        <v>243</v>
      </c>
    </row>
    <row r="16" spans="1:16" ht="46.95" customHeight="1" x14ac:dyDescent="0.25"/>
    <row r="17" spans="1:16" ht="15.6" x14ac:dyDescent="0.3">
      <c r="A17" s="245" t="s">
        <v>244</v>
      </c>
      <c r="B17" s="447" t="s">
        <v>245</v>
      </c>
      <c r="C17" s="447"/>
      <c r="D17" s="447"/>
      <c r="E17" s="447"/>
      <c r="F17" s="447"/>
      <c r="G17" s="447"/>
      <c r="H17" s="447"/>
      <c r="I17" s="447"/>
      <c r="J17" s="447"/>
      <c r="K17" s="447"/>
      <c r="L17" s="447"/>
      <c r="M17" s="447"/>
      <c r="N17" s="447"/>
      <c r="O17" s="447"/>
      <c r="P17" s="447"/>
    </row>
    <row r="18" spans="1:16" ht="15.6" x14ac:dyDescent="0.25">
      <c r="A18" s="178" t="s">
        <v>153</v>
      </c>
      <c r="B18" s="174" t="s">
        <v>205</v>
      </c>
      <c r="C18" s="178" t="s">
        <v>206</v>
      </c>
      <c r="D18" s="178" t="s">
        <v>207</v>
      </c>
      <c r="E18" s="178" t="s">
        <v>208</v>
      </c>
      <c r="F18" s="178" t="s">
        <v>209</v>
      </c>
      <c r="G18" s="178" t="s">
        <v>210</v>
      </c>
      <c r="H18" s="178" t="s">
        <v>211</v>
      </c>
      <c r="I18" s="178" t="s">
        <v>212</v>
      </c>
      <c r="J18" s="178" t="s">
        <v>213</v>
      </c>
      <c r="K18" s="178" t="s">
        <v>214</v>
      </c>
      <c r="L18" s="178" t="s">
        <v>215</v>
      </c>
      <c r="M18" s="178" t="s">
        <v>216</v>
      </c>
      <c r="N18" s="178" t="s">
        <v>217</v>
      </c>
      <c r="O18" s="448" t="s">
        <v>218</v>
      </c>
      <c r="P18" s="449"/>
    </row>
    <row r="19" spans="1:16" ht="15.6" x14ac:dyDescent="0.35">
      <c r="A19" s="176" t="s">
        <v>246</v>
      </c>
      <c r="B19" s="16" t="s">
        <v>225</v>
      </c>
      <c r="C19" s="212"/>
      <c r="D19" s="212"/>
      <c r="E19" s="212"/>
      <c r="F19" s="212"/>
      <c r="G19" s="212"/>
      <c r="H19" s="212"/>
      <c r="I19" s="212"/>
      <c r="J19" s="212"/>
      <c r="K19" s="212"/>
      <c r="L19" s="212"/>
      <c r="M19" s="212"/>
      <c r="N19" s="212"/>
      <c r="O19" s="211">
        <f t="shared" ref="O19" si="6">SUM(C19:N19)</f>
        <v>0</v>
      </c>
      <c r="P19" s="167" t="s">
        <v>226</v>
      </c>
    </row>
    <row r="20" spans="1:16" ht="15.6" x14ac:dyDescent="0.35">
      <c r="A20" s="176" t="s">
        <v>247</v>
      </c>
      <c r="B20" s="16" t="s">
        <v>228</v>
      </c>
      <c r="C20" s="212"/>
      <c r="D20" s="212"/>
      <c r="E20" s="212"/>
      <c r="F20" s="212"/>
      <c r="G20" s="212"/>
      <c r="H20" s="212"/>
      <c r="I20" s="212"/>
      <c r="J20" s="212"/>
      <c r="K20" s="212"/>
      <c r="L20" s="212"/>
      <c r="M20" s="212"/>
      <c r="N20" s="212"/>
      <c r="O20" s="211">
        <f t="shared" ref="O20" si="7">SUM(C20:N20)</f>
        <v>0</v>
      </c>
      <c r="P20" s="167" t="s">
        <v>226</v>
      </c>
    </row>
    <row r="21" spans="1:16" ht="15.6" x14ac:dyDescent="0.35">
      <c r="A21" s="176" t="s">
        <v>248</v>
      </c>
      <c r="B21" s="16" t="s">
        <v>230</v>
      </c>
      <c r="C21" s="216">
        <f>C19+C20</f>
        <v>0</v>
      </c>
      <c r="D21" s="217">
        <f t="shared" ref="D21:N21" si="8">D19+D20</f>
        <v>0</v>
      </c>
      <c r="E21" s="217">
        <f t="shared" si="8"/>
        <v>0</v>
      </c>
      <c r="F21" s="217">
        <f t="shared" si="8"/>
        <v>0</v>
      </c>
      <c r="G21" s="217">
        <f t="shared" si="8"/>
        <v>0</v>
      </c>
      <c r="H21" s="217">
        <f t="shared" si="8"/>
        <v>0</v>
      </c>
      <c r="I21" s="217">
        <f t="shared" si="8"/>
        <v>0</v>
      </c>
      <c r="J21" s="217">
        <f t="shared" si="8"/>
        <v>0</v>
      </c>
      <c r="K21" s="217">
        <f t="shared" si="8"/>
        <v>0</v>
      </c>
      <c r="L21" s="217">
        <f t="shared" si="8"/>
        <v>0</v>
      </c>
      <c r="M21" s="217">
        <f t="shared" si="8"/>
        <v>0</v>
      </c>
      <c r="N21" s="218">
        <f t="shared" si="8"/>
        <v>0</v>
      </c>
      <c r="O21" s="211">
        <f t="shared" ref="O21" si="9">SUM(C21:N21)</f>
        <v>0</v>
      </c>
      <c r="P21" s="167" t="s">
        <v>226</v>
      </c>
    </row>
    <row r="22" spans="1:16" ht="15.6" x14ac:dyDescent="0.35">
      <c r="A22" s="177" t="s">
        <v>249</v>
      </c>
      <c r="B22" s="231" t="s">
        <v>232</v>
      </c>
      <c r="C22" s="212"/>
      <c r="D22" s="212"/>
      <c r="E22" s="212"/>
      <c r="F22" s="212"/>
      <c r="G22" s="212"/>
      <c r="H22" s="212"/>
      <c r="I22" s="212"/>
      <c r="J22" s="212"/>
      <c r="K22" s="212"/>
      <c r="L22" s="212"/>
      <c r="M22" s="212"/>
      <c r="N22" s="212"/>
      <c r="O22" s="213">
        <f>SUM(C22:N22)</f>
        <v>0</v>
      </c>
      <c r="P22" s="168" t="s">
        <v>226</v>
      </c>
    </row>
    <row r="23" spans="1:16" ht="15.6" x14ac:dyDescent="0.35">
      <c r="A23" s="176" t="s">
        <v>250</v>
      </c>
      <c r="B23" s="16" t="s">
        <v>234</v>
      </c>
      <c r="C23" s="212"/>
      <c r="D23" s="212"/>
      <c r="E23" s="212"/>
      <c r="F23" s="212"/>
      <c r="G23" s="212"/>
      <c r="H23" s="212"/>
      <c r="I23" s="212"/>
      <c r="J23" s="212"/>
      <c r="K23" s="212"/>
      <c r="L23" s="212"/>
      <c r="M23" s="212"/>
      <c r="N23" s="212"/>
      <c r="O23" s="211">
        <f>SUM(C23:N23)</f>
        <v>0</v>
      </c>
      <c r="P23" s="167" t="s">
        <v>226</v>
      </c>
    </row>
    <row r="24" spans="1:16" ht="15.6" x14ac:dyDescent="0.35">
      <c r="A24" s="176" t="s">
        <v>251</v>
      </c>
      <c r="B24" s="16" t="s">
        <v>236</v>
      </c>
      <c r="C24" s="216">
        <f>C22+C23</f>
        <v>0</v>
      </c>
      <c r="D24" s="217">
        <f t="shared" ref="D24:N24" si="10">D22+D23</f>
        <v>0</v>
      </c>
      <c r="E24" s="217">
        <f t="shared" si="10"/>
        <v>0</v>
      </c>
      <c r="F24" s="217">
        <f t="shared" si="10"/>
        <v>0</v>
      </c>
      <c r="G24" s="217">
        <f t="shared" si="10"/>
        <v>0</v>
      </c>
      <c r="H24" s="217">
        <f t="shared" si="10"/>
        <v>0</v>
      </c>
      <c r="I24" s="217">
        <f t="shared" si="10"/>
        <v>0</v>
      </c>
      <c r="J24" s="217">
        <f t="shared" si="10"/>
        <v>0</v>
      </c>
      <c r="K24" s="217">
        <f t="shared" si="10"/>
        <v>0</v>
      </c>
      <c r="L24" s="217">
        <f t="shared" si="10"/>
        <v>0</v>
      </c>
      <c r="M24" s="217">
        <f t="shared" si="10"/>
        <v>0</v>
      </c>
      <c r="N24" s="218">
        <f t="shared" si="10"/>
        <v>0</v>
      </c>
      <c r="O24" s="211">
        <f>SUM(C24:N24)</f>
        <v>0</v>
      </c>
      <c r="P24" s="167" t="s">
        <v>226</v>
      </c>
    </row>
    <row r="25" spans="1:16" x14ac:dyDescent="0.25">
      <c r="A25" s="175" t="s">
        <v>252</v>
      </c>
      <c r="B25" s="232" t="s">
        <v>238</v>
      </c>
      <c r="C25" s="215"/>
      <c r="D25" s="215"/>
      <c r="E25" s="215"/>
      <c r="F25" s="215"/>
      <c r="G25" s="215"/>
      <c r="H25" s="215"/>
      <c r="I25" s="215"/>
      <c r="J25" s="215"/>
      <c r="K25" s="215"/>
      <c r="L25" s="215"/>
      <c r="M25" s="215"/>
      <c r="N25" s="215"/>
      <c r="O25" s="214" t="str">
        <f>IFERROR(AVERAGE(C25:N25),"")</f>
        <v/>
      </c>
      <c r="P25" s="169"/>
    </row>
    <row r="26" spans="1:16" ht="15.6" x14ac:dyDescent="0.35">
      <c r="A26" s="92" t="s">
        <v>253</v>
      </c>
      <c r="B26" s="233" t="s">
        <v>240</v>
      </c>
      <c r="C26" s="221">
        <f>C21-C24*C25</f>
        <v>0</v>
      </c>
      <c r="D26" s="159">
        <f t="shared" ref="D26" si="11">D21-D24*D25</f>
        <v>0</v>
      </c>
      <c r="E26" s="159">
        <f t="shared" ref="E26" si="12">E21-E24*E25</f>
        <v>0</v>
      </c>
      <c r="F26" s="159">
        <f t="shared" ref="F26" si="13">F21-F24*F25</f>
        <v>0</v>
      </c>
      <c r="G26" s="159">
        <f t="shared" ref="G26" si="14">G21-G24*G25</f>
        <v>0</v>
      </c>
      <c r="H26" s="159">
        <f t="shared" ref="H26" si="15">H21-H24*H25</f>
        <v>0</v>
      </c>
      <c r="I26" s="159">
        <f t="shared" ref="I26" si="16">I21-I24*I25</f>
        <v>0</v>
      </c>
      <c r="J26" s="159">
        <f t="shared" ref="J26" si="17">J21-J24*J25</f>
        <v>0</v>
      </c>
      <c r="K26" s="159">
        <f t="shared" ref="K26" si="18">K21-K24*K25</f>
        <v>0</v>
      </c>
      <c r="L26" s="159">
        <f t="shared" ref="L26" si="19">L21-L24*L25</f>
        <v>0</v>
      </c>
      <c r="M26" s="159">
        <f t="shared" ref="M26" si="20">M21-M24*M25</f>
        <v>0</v>
      </c>
      <c r="N26" s="222">
        <f t="shared" ref="N26" si="21">N21-N24*N25</f>
        <v>0</v>
      </c>
      <c r="O26" s="219">
        <f>SUM(C26:N26)</f>
        <v>0</v>
      </c>
      <c r="P26" s="197" t="s">
        <v>226</v>
      </c>
    </row>
    <row r="27" spans="1:16" x14ac:dyDescent="0.25">
      <c r="A27" s="175" t="s">
        <v>254</v>
      </c>
      <c r="B27" s="230" t="s">
        <v>242</v>
      </c>
      <c r="C27" s="223" t="str">
        <f>IFERROR(C26/('2.lapa_Esošā situācija'!$J$11+'2.lapa_Esošā situācija'!$K$11),"")</f>
        <v/>
      </c>
      <c r="D27" s="173" t="str">
        <f>IFERROR(D26/('2.lapa_Esošā situācija'!$J$11+'2.lapa_Esošā situācija'!$K$11),"")</f>
        <v/>
      </c>
      <c r="E27" s="173" t="str">
        <f>IFERROR(E26/('2.lapa_Esošā situācija'!$J$11+'2.lapa_Esošā situācija'!$K$11),"")</f>
        <v/>
      </c>
      <c r="F27" s="173" t="str">
        <f>IFERROR(F26/('2.lapa_Esošā situācija'!$J$11+'2.lapa_Esošā situācija'!$K$11),"")</f>
        <v/>
      </c>
      <c r="G27" s="173" t="str">
        <f>IFERROR(G26/('2.lapa_Esošā situācija'!$J$11+'2.lapa_Esošā situācija'!$K$11),"")</f>
        <v/>
      </c>
      <c r="H27" s="173" t="str">
        <f>IFERROR(H26/('2.lapa_Esošā situācija'!$J$11+'2.lapa_Esošā situācija'!$K$11),"")</f>
        <v/>
      </c>
      <c r="I27" s="173" t="str">
        <f>IFERROR(I26/('2.lapa_Esošā situācija'!$J$11+'2.lapa_Esošā situācija'!$K$11),"")</f>
        <v/>
      </c>
      <c r="J27" s="173" t="str">
        <f>IFERROR(J26/('2.lapa_Esošā situācija'!$J$11+'2.lapa_Esošā situācija'!$K$11),"")</f>
        <v/>
      </c>
      <c r="K27" s="173" t="str">
        <f>IFERROR(K26/('2.lapa_Esošā situācija'!$J$11+'2.lapa_Esošā situācija'!$K$11),"")</f>
        <v/>
      </c>
      <c r="L27" s="173" t="str">
        <f>IFERROR(L26/('2.lapa_Esošā situācija'!$J$11+'2.lapa_Esošā situācija'!$K$11),"")</f>
        <v/>
      </c>
      <c r="M27" s="173" t="str">
        <f>IFERROR(M26/('2.lapa_Esošā situācija'!$J$11+'2.lapa_Esošā situācija'!$K$11),"")</f>
        <v/>
      </c>
      <c r="N27" s="224" t="str">
        <f>IFERROR(N26/('2.lapa_Esošā situācija'!$J$11+'2.lapa_Esošā situācija'!$K$11),"")</f>
        <v/>
      </c>
      <c r="O27" s="220">
        <f>SUM(C27:N27)</f>
        <v>0</v>
      </c>
      <c r="P27" s="196" t="s">
        <v>243</v>
      </c>
    </row>
  </sheetData>
  <mergeCells count="6">
    <mergeCell ref="A1:P1"/>
    <mergeCell ref="B3:P3"/>
    <mergeCell ref="B17:P17"/>
    <mergeCell ref="O18:P18"/>
    <mergeCell ref="O4:P4"/>
    <mergeCell ref="B2:P2"/>
  </mergeCells>
  <printOptions horizontalCentered="1"/>
  <pageMargins left="0.31496062992125984" right="0.31496062992125984" top="0.74803149606299213" bottom="0.74803149606299213" header="0.31496062992125984" footer="0.31496062992125984"/>
  <pageSetup paperSize="9" scale="69" orientation="portrait" horizontalDpi="1200" verticalDpi="1200" r:id="rId1"/>
  <headerFooter>
    <oddFooter>&amp;R&amp;A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B1:AJ114"/>
  <sheetViews>
    <sheetView showGridLines="0" topLeftCell="A37" workbookViewId="0">
      <selection activeCell="B65" sqref="B65:O67"/>
    </sheetView>
  </sheetViews>
  <sheetFormatPr defaultColWidth="8.88671875" defaultRowHeight="13.8" x14ac:dyDescent="0.25"/>
  <cols>
    <col min="1" max="1" width="2.33203125" style="1" customWidth="1"/>
    <col min="2" max="2" width="11" style="1" customWidth="1"/>
    <col min="3" max="3" width="9.33203125" style="1" customWidth="1"/>
    <col min="4" max="4" width="17.33203125" style="1" customWidth="1"/>
    <col min="5" max="7" width="10.109375" style="1" customWidth="1"/>
    <col min="8" max="8" width="7.33203125" style="1" bestFit="1" customWidth="1"/>
    <col min="9" max="10" width="9.88671875" style="1" customWidth="1"/>
    <col min="11" max="11" width="8" style="1" customWidth="1"/>
    <col min="12" max="14" width="11.33203125" style="1" customWidth="1"/>
    <col min="15" max="17" width="11.6640625" style="1" customWidth="1"/>
    <col min="18" max="25" width="11.6640625" style="1" hidden="1" customWidth="1"/>
    <col min="26" max="36" width="8.88671875" style="1" hidden="1" customWidth="1"/>
    <col min="37" max="43" width="8.88671875" style="1" customWidth="1"/>
    <col min="44" max="16384" width="8.88671875" style="1"/>
  </cols>
  <sheetData>
    <row r="1" spans="2:24" ht="20.399999999999999" x14ac:dyDescent="0.25">
      <c r="B1" s="481" t="s">
        <v>255</v>
      </c>
      <c r="C1" s="482"/>
      <c r="D1" s="482"/>
      <c r="E1" s="482"/>
      <c r="F1" s="482"/>
      <c r="G1" s="482"/>
      <c r="H1" s="482"/>
      <c r="I1" s="482"/>
      <c r="J1" s="482"/>
      <c r="K1" s="482"/>
      <c r="L1" s="482"/>
      <c r="M1" s="482"/>
      <c r="N1" s="482"/>
      <c r="O1" s="482"/>
    </row>
    <row r="2" spans="2:24" ht="7.2" customHeight="1" x14ac:dyDescent="0.25"/>
    <row r="3" spans="2:24" s="80" customFormat="1" ht="13.2" x14ac:dyDescent="0.25">
      <c r="B3" s="483" t="s">
        <v>4</v>
      </c>
      <c r="C3" s="483"/>
      <c r="D3" s="483"/>
      <c r="E3" s="483"/>
      <c r="F3" s="483"/>
      <c r="G3" s="483"/>
      <c r="H3" s="483"/>
      <c r="I3" s="485">
        <f>'1.lapa_Patēriņš'!F6</f>
        <v>0</v>
      </c>
      <c r="J3" s="486"/>
      <c r="K3" s="486"/>
      <c r="L3" s="486"/>
      <c r="M3" s="486"/>
      <c r="N3" s="486"/>
      <c r="O3" s="487"/>
    </row>
    <row r="4" spans="2:24" s="80" customFormat="1" ht="13.2" x14ac:dyDescent="0.25">
      <c r="B4" s="483" t="s">
        <v>6</v>
      </c>
      <c r="C4" s="483"/>
      <c r="D4" s="483"/>
      <c r="E4" s="483"/>
      <c r="F4" s="483"/>
      <c r="G4" s="483"/>
      <c r="H4" s="484"/>
      <c r="I4" s="488">
        <f>'1.lapa_Patēriņš'!F7</f>
        <v>0</v>
      </c>
      <c r="J4" s="486"/>
      <c r="K4" s="486"/>
      <c r="L4" s="486"/>
      <c r="M4" s="486"/>
      <c r="N4" s="486"/>
      <c r="O4" s="487"/>
    </row>
    <row r="5" spans="2:24" s="80" customFormat="1" ht="19.2" customHeight="1" x14ac:dyDescent="0.25">
      <c r="B5" s="467" t="s">
        <v>256</v>
      </c>
      <c r="C5" s="467"/>
      <c r="D5" s="467"/>
      <c r="E5" s="467"/>
      <c r="F5" s="467"/>
      <c r="G5" s="467"/>
      <c r="H5" s="467"/>
      <c r="I5" s="468">
        <f>IFERROR(N32-N58,"")</f>
        <v>0</v>
      </c>
      <c r="J5" s="469"/>
      <c r="K5" s="460" t="s">
        <v>112</v>
      </c>
      <c r="L5" s="461"/>
      <c r="M5" s="492"/>
      <c r="N5" s="492"/>
      <c r="O5" s="492"/>
    </row>
    <row r="6" spans="2:24" s="80" customFormat="1" ht="19.2" customHeight="1" x14ac:dyDescent="0.25">
      <c r="B6" s="467" t="s">
        <v>257</v>
      </c>
      <c r="C6" s="467"/>
      <c r="D6" s="467"/>
      <c r="E6" s="467"/>
      <c r="F6" s="467"/>
      <c r="G6" s="467"/>
      <c r="H6" s="467"/>
      <c r="I6" s="470">
        <f>IFERROR((O32-O58)/1000,"")</f>
        <v>0</v>
      </c>
      <c r="J6" s="471"/>
      <c r="K6" s="462" t="s">
        <v>258</v>
      </c>
      <c r="L6" s="463"/>
      <c r="M6" s="492"/>
      <c r="N6" s="492"/>
      <c r="O6" s="492"/>
    </row>
    <row r="7" spans="2:24" x14ac:dyDescent="0.25">
      <c r="O7" s="121"/>
    </row>
    <row r="8" spans="2:24" ht="18" x14ac:dyDescent="0.25">
      <c r="B8" s="472" t="s">
        <v>259</v>
      </c>
      <c r="C8" s="473"/>
      <c r="D8" s="474"/>
      <c r="E8" s="474"/>
      <c r="F8" s="474"/>
      <c r="G8" s="474"/>
      <c r="H8" s="474"/>
      <c r="I8" s="474"/>
      <c r="J8" s="474"/>
      <c r="K8" s="474"/>
      <c r="L8" s="474"/>
      <c r="M8" s="474"/>
      <c r="N8" s="474"/>
      <c r="O8" s="475"/>
    </row>
    <row r="9" spans="2:24" ht="13.95" customHeight="1" x14ac:dyDescent="0.25">
      <c r="B9" s="476" t="s">
        <v>260</v>
      </c>
      <c r="C9" s="464" t="s">
        <v>261</v>
      </c>
      <c r="D9" s="477" t="s">
        <v>262</v>
      </c>
      <c r="E9" s="478" t="s">
        <v>263</v>
      </c>
      <c r="F9" s="479"/>
      <c r="G9" s="480"/>
      <c r="H9" s="464" t="s">
        <v>264</v>
      </c>
      <c r="I9" s="464" t="s">
        <v>265</v>
      </c>
      <c r="J9" s="464" t="s">
        <v>266</v>
      </c>
      <c r="K9" s="464" t="s">
        <v>267</v>
      </c>
      <c r="L9" s="489" t="s">
        <v>268</v>
      </c>
      <c r="M9" s="490"/>
      <c r="N9" s="490"/>
      <c r="O9" s="491"/>
    </row>
    <row r="10" spans="2:24" ht="44.4" customHeight="1" x14ac:dyDescent="0.25">
      <c r="B10" s="476"/>
      <c r="C10" s="465"/>
      <c r="D10" s="477"/>
      <c r="E10" s="128" t="s">
        <v>269</v>
      </c>
      <c r="F10" s="128" t="s">
        <v>270</v>
      </c>
      <c r="G10" s="128" t="s">
        <v>271</v>
      </c>
      <c r="H10" s="465"/>
      <c r="I10" s="465"/>
      <c r="J10" s="465"/>
      <c r="K10" s="466"/>
      <c r="L10" s="128" t="s">
        <v>272</v>
      </c>
      <c r="M10" s="128" t="s">
        <v>273</v>
      </c>
      <c r="N10" s="238" t="s">
        <v>274</v>
      </c>
      <c r="O10" s="239" t="s">
        <v>275</v>
      </c>
    </row>
    <row r="11" spans="2:24" x14ac:dyDescent="0.25">
      <c r="B11" s="476"/>
      <c r="C11" s="240" t="s">
        <v>226</v>
      </c>
      <c r="D11" s="477"/>
      <c r="E11" s="240" t="s">
        <v>226</v>
      </c>
      <c r="F11" s="240" t="s">
        <v>226</v>
      </c>
      <c r="G11" s="240" t="s">
        <v>226</v>
      </c>
      <c r="H11" s="466"/>
      <c r="I11" s="466"/>
      <c r="J11" s="466"/>
      <c r="K11" s="240" t="s">
        <v>276</v>
      </c>
      <c r="L11" s="241" t="s">
        <v>226</v>
      </c>
      <c r="M11" s="241" t="s">
        <v>226</v>
      </c>
      <c r="N11" s="234" t="s">
        <v>226</v>
      </c>
      <c r="O11" s="234" t="s">
        <v>277</v>
      </c>
    </row>
    <row r="12" spans="2:24" ht="9.6" customHeight="1" x14ac:dyDescent="0.25">
      <c r="B12" s="86">
        <v>1</v>
      </c>
      <c r="C12" s="85">
        <v>2</v>
      </c>
      <c r="D12" s="85">
        <v>3</v>
      </c>
      <c r="E12" s="85">
        <v>4</v>
      </c>
      <c r="F12" s="85">
        <v>5</v>
      </c>
      <c r="G12" s="85">
        <v>6</v>
      </c>
      <c r="H12" s="87">
        <v>7</v>
      </c>
      <c r="I12" s="87">
        <v>8</v>
      </c>
      <c r="J12" s="85">
        <v>9</v>
      </c>
      <c r="K12" s="85">
        <v>10</v>
      </c>
      <c r="L12" s="87">
        <v>11</v>
      </c>
      <c r="M12" s="87">
        <v>12</v>
      </c>
      <c r="N12" s="87">
        <v>13</v>
      </c>
      <c r="O12" s="87">
        <v>14</v>
      </c>
    </row>
    <row r="13" spans="2:24" x14ac:dyDescent="0.25">
      <c r="B13" s="498" t="s">
        <v>278</v>
      </c>
      <c r="C13" s="501" t="str">
        <f>'2.lapa_Esošā situācija'!J70</f>
        <v/>
      </c>
      <c r="D13" s="97" t="s">
        <v>67</v>
      </c>
      <c r="E13" s="198"/>
      <c r="F13" s="198"/>
      <c r="G13" s="199" t="str">
        <f>IF(E13+F13=0,"",E13+F13)</f>
        <v/>
      </c>
      <c r="H13" s="89"/>
      <c r="I13" s="19" t="str">
        <f>IF(E13+F13=0,"",VLOOKUP(D13,$R$17:$X$33,5,FALSE))</f>
        <v/>
      </c>
      <c r="J13" s="19" t="str">
        <f>IF(E13+F13=0,"",VLOOKUP(D13,$R$16:$X$32,6,FALSE))</f>
        <v/>
      </c>
      <c r="K13" s="19" t="str">
        <f>IF(E13+F13=0,"",VLOOKUP(D13,$R$17:$X$33,7,FALSE))</f>
        <v/>
      </c>
      <c r="L13" s="199" t="str">
        <f>IF(E13+F13=0,"",G13/H13*I13)</f>
        <v/>
      </c>
      <c r="M13" s="199" t="str">
        <f>IF(E13+F13=0,"",G13/H13*J13)</f>
        <v/>
      </c>
      <c r="N13" s="199" t="str">
        <f>IF(E13+F13=0,"",L13+M13)</f>
        <v/>
      </c>
      <c r="O13" s="199" t="str">
        <f>IF(E13+F13=0,"",G13/H13*K13)</f>
        <v/>
      </c>
      <c r="R13" s="497"/>
      <c r="S13" s="497"/>
    </row>
    <row r="14" spans="2:24" x14ac:dyDescent="0.25">
      <c r="B14" s="500"/>
      <c r="C14" s="502"/>
      <c r="D14" s="97"/>
      <c r="E14" s="88"/>
      <c r="F14" s="198"/>
      <c r="G14" s="199" t="str">
        <f t="shared" ref="G14:G28" si="0">IF(E14+F14=0,"",E14+F14)</f>
        <v/>
      </c>
      <c r="H14" s="89"/>
      <c r="I14" s="19" t="str">
        <f>IF(E14+F14=0,"",VLOOKUP(D14,$R$17:$X$33,5,FALSE))</f>
        <v/>
      </c>
      <c r="J14" s="19" t="str">
        <f>IF(E14+F14=0,"",VLOOKUP(D14,$R$16:$X$32,6,FALSE))</f>
        <v/>
      </c>
      <c r="K14" s="19" t="str">
        <f>IF(E14+F14=0,"",VLOOKUP(D14,$R$17:$X$33,7,FALSE))</f>
        <v/>
      </c>
      <c r="L14" s="199" t="str">
        <f t="shared" ref="L14:L30" si="1">IF(E14+F14=0,"",G14/H14*I14)</f>
        <v/>
      </c>
      <c r="M14" s="199" t="str">
        <f t="shared" ref="M14:M30" si="2">IF(E14+F14=0,"",G14/H14*J14)</f>
        <v/>
      </c>
      <c r="N14" s="199" t="str">
        <f t="shared" ref="N14:N30" si="3">IF(E14+F14=0,"",L14+M14)</f>
        <v/>
      </c>
      <c r="O14" s="199" t="str">
        <f t="shared" ref="O14:O29" si="4">IF(E14+F14=0,"",G14/H14*K14)</f>
        <v/>
      </c>
    </row>
    <row r="15" spans="2:24" x14ac:dyDescent="0.25">
      <c r="B15" s="500"/>
      <c r="C15" s="502"/>
      <c r="D15" s="97"/>
      <c r="E15" s="88"/>
      <c r="F15" s="198"/>
      <c r="G15" s="199" t="str">
        <f t="shared" si="0"/>
        <v/>
      </c>
      <c r="H15" s="89"/>
      <c r="I15" s="19" t="str">
        <f>IF(E15+F15=0,"",VLOOKUP(D15,$R$17:$X$33,5,FALSE))</f>
        <v/>
      </c>
      <c r="J15" s="19" t="str">
        <f>IF(E15+F15=0,"",VLOOKUP(D15,$R$16:$X$32,6,FALSE))</f>
        <v/>
      </c>
      <c r="K15" s="19" t="str">
        <f>IF(E15+F15=0,"",VLOOKUP(D15,$R$17:$X$33,7,FALSE))</f>
        <v/>
      </c>
      <c r="L15" s="199" t="str">
        <f t="shared" si="1"/>
        <v/>
      </c>
      <c r="M15" s="199" t="str">
        <f t="shared" si="2"/>
        <v/>
      </c>
      <c r="N15" s="199" t="str">
        <f t="shared" si="3"/>
        <v/>
      </c>
      <c r="O15" s="199" t="str">
        <f t="shared" si="4"/>
        <v/>
      </c>
      <c r="R15" s="1" t="s">
        <v>279</v>
      </c>
    </row>
    <row r="16" spans="2:24" x14ac:dyDescent="0.25">
      <c r="B16" s="500"/>
      <c r="C16" s="502"/>
      <c r="D16" s="90" t="s">
        <v>280</v>
      </c>
      <c r="E16" s="198"/>
      <c r="F16" s="198"/>
      <c r="G16" s="199" t="str">
        <f t="shared" si="0"/>
        <v/>
      </c>
      <c r="H16" s="19">
        <v>1</v>
      </c>
      <c r="I16" s="19" t="str">
        <f>IF('6.lapa_Centralizētā'!E13=0,"",'6.lapa_Centralizētā'!C13)</f>
        <v/>
      </c>
      <c r="J16" s="19" t="str">
        <f>IF('6.lapa_Centralizētā'!E13=0,"",'6.lapa_Centralizētā'!D13)</f>
        <v/>
      </c>
      <c r="K16" s="19" t="str">
        <f>IF(E16+F16=0,"",'6.lapa_Centralizētā'!$E$24)</f>
        <v/>
      </c>
      <c r="L16" s="199" t="str">
        <f t="shared" si="1"/>
        <v/>
      </c>
      <c r="M16" s="199" t="str">
        <f t="shared" si="2"/>
        <v/>
      </c>
      <c r="N16" s="199" t="str">
        <f t="shared" si="3"/>
        <v/>
      </c>
      <c r="O16" s="199" t="str">
        <f t="shared" si="4"/>
        <v/>
      </c>
      <c r="R16" s="1" t="s">
        <v>44</v>
      </c>
      <c r="S16" s="1" t="s">
        <v>45</v>
      </c>
      <c r="V16" s="1" t="s">
        <v>281</v>
      </c>
      <c r="W16" s="1" t="s">
        <v>282</v>
      </c>
      <c r="X16" s="1" t="s">
        <v>283</v>
      </c>
    </row>
    <row r="17" spans="2:24" x14ac:dyDescent="0.25">
      <c r="B17" s="500"/>
      <c r="C17" s="502"/>
      <c r="D17" s="91" t="s">
        <v>75</v>
      </c>
      <c r="E17" s="88"/>
      <c r="F17" s="198"/>
      <c r="G17" s="199" t="str">
        <f t="shared" si="0"/>
        <v/>
      </c>
      <c r="H17" s="92">
        <v>1</v>
      </c>
      <c r="I17" s="19" t="str">
        <f>IF(E17+F17=0,"",VLOOKUP(D17,$R$17:$X$33,5,FALSE))</f>
        <v/>
      </c>
      <c r="J17" s="19" t="str">
        <f>IF(E17+F17=0,"",VLOOKUP(D17,$R$16:$X$32,6,FALSE))</f>
        <v/>
      </c>
      <c r="K17" s="19" t="str">
        <f>IF(E17+F17=0,"",VLOOKUP(D17,$R$17:$X$33,7,FALSE))</f>
        <v/>
      </c>
      <c r="L17" s="199" t="str">
        <f t="shared" si="1"/>
        <v/>
      </c>
      <c r="M17" s="199" t="str">
        <f t="shared" si="2"/>
        <v/>
      </c>
      <c r="N17" s="199" t="str">
        <f t="shared" si="3"/>
        <v/>
      </c>
      <c r="O17" s="199" t="str">
        <f t="shared" si="4"/>
        <v/>
      </c>
      <c r="R17" s="1" t="s">
        <v>46</v>
      </c>
      <c r="S17" s="1">
        <v>11.8</v>
      </c>
      <c r="T17" s="1" t="s">
        <v>47</v>
      </c>
      <c r="U17" s="1" t="s">
        <v>48</v>
      </c>
      <c r="V17" s="1">
        <v>1.1000000000000001</v>
      </c>
      <c r="W17" s="1">
        <v>0</v>
      </c>
      <c r="X17" s="1">
        <v>0.26700000000000002</v>
      </c>
    </row>
    <row r="18" spans="2:24" x14ac:dyDescent="0.25">
      <c r="B18" s="500"/>
      <c r="C18" s="502"/>
      <c r="D18" s="91" t="s">
        <v>70</v>
      </c>
      <c r="E18" s="88"/>
      <c r="F18" s="198"/>
      <c r="G18" s="199" t="str">
        <f t="shared" si="0"/>
        <v/>
      </c>
      <c r="H18" s="92">
        <v>1</v>
      </c>
      <c r="I18" s="19" t="str">
        <f>IF(E18+F18=0,"",VLOOKUP(D18,$R$17:$X$33,5,FALSE))</f>
        <v/>
      </c>
      <c r="J18" s="19" t="str">
        <f>IF(E18+F18=0,"",VLOOKUP(D18,$R$16:$X$32,6,FALSE))</f>
        <v/>
      </c>
      <c r="K18" s="19" t="str">
        <f>IF(E18+F18=0,"",VLOOKUP(D18,$R$17:$X$33,7,FALSE))</f>
        <v/>
      </c>
      <c r="L18" s="199" t="str">
        <f t="shared" si="1"/>
        <v/>
      </c>
      <c r="M18" s="199" t="str">
        <f t="shared" si="2"/>
        <v/>
      </c>
      <c r="N18" s="199" t="str">
        <f t="shared" si="3"/>
        <v/>
      </c>
      <c r="O18" s="199" t="str">
        <f t="shared" si="4"/>
        <v/>
      </c>
      <c r="R18" s="1" t="s">
        <v>49</v>
      </c>
      <c r="S18" s="1">
        <v>11.28</v>
      </c>
      <c r="T18" s="1" t="s">
        <v>47</v>
      </c>
      <c r="U18" s="1" t="s">
        <v>48</v>
      </c>
      <c r="V18" s="1">
        <v>1.1000000000000001</v>
      </c>
      <c r="W18" s="1">
        <v>0</v>
      </c>
      <c r="X18" s="1">
        <v>0.27900000000000003</v>
      </c>
    </row>
    <row r="19" spans="2:24" x14ac:dyDescent="0.25">
      <c r="B19" s="499"/>
      <c r="C19" s="503"/>
      <c r="D19" s="91" t="s">
        <v>284</v>
      </c>
      <c r="E19" s="88"/>
      <c r="F19" s="198"/>
      <c r="G19" s="199" t="str">
        <f t="shared" si="0"/>
        <v/>
      </c>
      <c r="H19" s="92">
        <v>1</v>
      </c>
      <c r="I19" s="19" t="str">
        <f>IF(E19+F19=0,"",VLOOKUP(D19,$R$17:$X$34,5,FALSE))</f>
        <v/>
      </c>
      <c r="J19" s="19" t="str">
        <f>IF(E19+F19=0,"",VLOOKUP(D19,$R$16:$X$34,6,FALSE))</f>
        <v/>
      </c>
      <c r="K19" s="19" t="str">
        <f>IF(E19+F19=0,"",VLOOKUP(D19,$R$17:$X$34,7,FALSE))</f>
        <v/>
      </c>
      <c r="L19" s="199" t="str">
        <f t="shared" si="1"/>
        <v/>
      </c>
      <c r="M19" s="199" t="str">
        <f t="shared" si="2"/>
        <v/>
      </c>
      <c r="N19" s="199" t="str">
        <f t="shared" si="3"/>
        <v/>
      </c>
      <c r="O19" s="199" t="str">
        <f t="shared" si="4"/>
        <v/>
      </c>
      <c r="R19" s="1" t="s">
        <v>50</v>
      </c>
      <c r="S19" s="1">
        <v>12.65</v>
      </c>
      <c r="T19" s="1" t="s">
        <v>47</v>
      </c>
      <c r="U19" s="1" t="s">
        <v>48</v>
      </c>
      <c r="V19" s="1">
        <v>1.1000000000000001</v>
      </c>
      <c r="W19" s="1">
        <v>0</v>
      </c>
      <c r="X19" s="1">
        <v>0.22700000000000001</v>
      </c>
    </row>
    <row r="20" spans="2:24" ht="13.95" customHeight="1" x14ac:dyDescent="0.25">
      <c r="B20" s="504" t="s">
        <v>285</v>
      </c>
      <c r="C20" s="507"/>
      <c r="D20" s="97"/>
      <c r="E20" s="88"/>
      <c r="F20" s="198"/>
      <c r="G20" s="199" t="str">
        <f t="shared" si="0"/>
        <v/>
      </c>
      <c r="H20" s="281"/>
      <c r="I20" s="19" t="str">
        <f>IF(E20+F20=0,"",VLOOKUP(D20,$R$17:$X$33,5,FALSE))</f>
        <v/>
      </c>
      <c r="J20" s="19" t="str">
        <f>IF(E20+F20=0,"",VLOOKUP(D20,$R$16:$X$32,6,FALSE))</f>
        <v/>
      </c>
      <c r="K20" s="19" t="str">
        <f>IF(E20+F20=0,"",VLOOKUP(D20,$R$17:$X$33,7,FALSE))</f>
        <v/>
      </c>
      <c r="L20" s="199" t="str">
        <f t="shared" si="1"/>
        <v/>
      </c>
      <c r="M20" s="199" t="str">
        <f t="shared" si="2"/>
        <v/>
      </c>
      <c r="N20" s="199" t="str">
        <f t="shared" si="3"/>
        <v/>
      </c>
      <c r="O20" s="199" t="str">
        <f t="shared" si="4"/>
        <v/>
      </c>
      <c r="R20" s="1" t="s">
        <v>51</v>
      </c>
      <c r="S20" s="1">
        <v>9.16</v>
      </c>
      <c r="T20" s="1" t="s">
        <v>47</v>
      </c>
      <c r="U20" s="1" t="s">
        <v>48</v>
      </c>
      <c r="V20" s="1">
        <v>1.1000000000000001</v>
      </c>
      <c r="W20" s="1">
        <v>0</v>
      </c>
      <c r="X20" s="1">
        <v>2.7099999999999999E-2</v>
      </c>
    </row>
    <row r="21" spans="2:24" x14ac:dyDescent="0.25">
      <c r="B21" s="505"/>
      <c r="C21" s="508"/>
      <c r="D21" s="97"/>
      <c r="E21" s="88"/>
      <c r="F21" s="198"/>
      <c r="G21" s="199" t="str">
        <f t="shared" si="0"/>
        <v/>
      </c>
      <c r="H21" s="89"/>
      <c r="I21" s="19" t="str">
        <f>IF(E21+F21=0,"",VLOOKUP(D21,$R$17:$X$33,5,FALSE))</f>
        <v/>
      </c>
      <c r="J21" s="19" t="str">
        <f>IF(E21+F21=0,"",VLOOKUP(D21,$R$16:$X$32,6,FALSE))</f>
        <v/>
      </c>
      <c r="K21" s="19" t="str">
        <f>IF(E21+F21=0,"",VLOOKUP(D21,$R$17:$X$33,7,FALSE))</f>
        <v/>
      </c>
      <c r="L21" s="199" t="str">
        <f t="shared" si="1"/>
        <v/>
      </c>
      <c r="M21" s="199" t="str">
        <f t="shared" si="2"/>
        <v/>
      </c>
      <c r="N21" s="199" t="str">
        <f t="shared" si="3"/>
        <v/>
      </c>
      <c r="O21" s="199" t="str">
        <f t="shared" si="4"/>
        <v/>
      </c>
      <c r="R21" s="1" t="s">
        <v>52</v>
      </c>
      <c r="S21" s="1">
        <v>6.7</v>
      </c>
      <c r="T21" s="1" t="s">
        <v>47</v>
      </c>
      <c r="U21" s="1" t="s">
        <v>48</v>
      </c>
      <c r="V21" s="1">
        <v>1.1000000000000001</v>
      </c>
      <c r="W21" s="1">
        <v>0</v>
      </c>
      <c r="X21" s="1">
        <v>0.35399999999999998</v>
      </c>
    </row>
    <row r="22" spans="2:24" x14ac:dyDescent="0.25">
      <c r="B22" s="505"/>
      <c r="C22" s="508"/>
      <c r="D22" s="97"/>
      <c r="E22" s="88"/>
      <c r="F22" s="198"/>
      <c r="G22" s="199" t="str">
        <f t="shared" si="0"/>
        <v/>
      </c>
      <c r="H22" s="89"/>
      <c r="I22" s="19" t="str">
        <f>IF(E22+F22=0,"",VLOOKUP(D22,$R$17:$X$33,5,FALSE))</f>
        <v/>
      </c>
      <c r="J22" s="19" t="str">
        <f>IF(E22+F22=0,"",VLOOKUP(D22,$R$16:$X$32,6,FALSE))</f>
        <v/>
      </c>
      <c r="K22" s="19" t="str">
        <f>IF(E22+F22=0,"",VLOOKUP(D22,$R$17:$X$33,7,FALSE))</f>
        <v/>
      </c>
      <c r="L22" s="199" t="str">
        <f t="shared" si="1"/>
        <v/>
      </c>
      <c r="M22" s="199" t="str">
        <f t="shared" si="2"/>
        <v/>
      </c>
      <c r="N22" s="199" t="str">
        <f t="shared" si="3"/>
        <v/>
      </c>
      <c r="O22" s="199" t="str">
        <f t="shared" si="4"/>
        <v/>
      </c>
      <c r="R22" s="1" t="s">
        <v>53</v>
      </c>
      <c r="S22" s="1">
        <v>2.79</v>
      </c>
      <c r="T22" s="1" t="s">
        <v>47</v>
      </c>
      <c r="U22" s="1" t="s">
        <v>48</v>
      </c>
      <c r="V22" s="1">
        <v>1.1000000000000001</v>
      </c>
      <c r="W22" s="1">
        <v>0</v>
      </c>
      <c r="X22" s="1">
        <v>0.29399999999999998</v>
      </c>
    </row>
    <row r="23" spans="2:24" x14ac:dyDescent="0.25">
      <c r="B23" s="505"/>
      <c r="C23" s="508"/>
      <c r="D23" s="90" t="s">
        <v>280</v>
      </c>
      <c r="E23" s="88"/>
      <c r="F23" s="198"/>
      <c r="G23" s="199" t="str">
        <f t="shared" si="0"/>
        <v/>
      </c>
      <c r="H23" s="19">
        <v>1</v>
      </c>
      <c r="I23" s="19" t="str">
        <f>IF('6.lapa_Centralizētā'!E13=0,"",'6.lapa_Centralizētā'!C13)</f>
        <v/>
      </c>
      <c r="J23" s="19" t="str">
        <f>IF('6.lapa_Centralizētā'!E13=0,"",'6.lapa_Centralizētā'!D13)</f>
        <v/>
      </c>
      <c r="K23" s="19" t="str">
        <f>IF(E23+F23=0,"",'6.lapa_Centralizētā'!$E$24)</f>
        <v/>
      </c>
      <c r="L23" s="199" t="str">
        <f t="shared" si="1"/>
        <v/>
      </c>
      <c r="M23" s="199" t="str">
        <f t="shared" si="2"/>
        <v/>
      </c>
      <c r="N23" s="199" t="str">
        <f t="shared" si="3"/>
        <v/>
      </c>
      <c r="O23" s="199" t="str">
        <f t="shared" si="4"/>
        <v/>
      </c>
      <c r="R23" s="1" t="s">
        <v>54</v>
      </c>
      <c r="S23" s="1">
        <v>9.5</v>
      </c>
      <c r="T23" s="1" t="s">
        <v>55</v>
      </c>
      <c r="U23" s="1" t="s">
        <v>56</v>
      </c>
      <c r="V23" s="1">
        <v>1.1000000000000001</v>
      </c>
      <c r="W23" s="1">
        <v>0</v>
      </c>
      <c r="X23" s="1">
        <v>0.20200000000000001</v>
      </c>
    </row>
    <row r="24" spans="2:24" x14ac:dyDescent="0.25">
      <c r="B24" s="505"/>
      <c r="C24" s="508"/>
      <c r="D24" s="91" t="s">
        <v>75</v>
      </c>
      <c r="E24" s="88"/>
      <c r="F24" s="198"/>
      <c r="G24" s="199" t="str">
        <f t="shared" si="0"/>
        <v/>
      </c>
      <c r="H24" s="92">
        <v>1</v>
      </c>
      <c r="I24" s="19" t="str">
        <f>IF(E24+F24=0,"",VLOOKUP(D24,$R$17:$X$33,5,FALSE))</f>
        <v/>
      </c>
      <c r="J24" s="19" t="str">
        <f>IF(E24+F24=0,"",VLOOKUP(D24,$R$16:$X$32,6,FALSE))</f>
        <v/>
      </c>
      <c r="K24" s="19" t="str">
        <f>IF(E24+F24=0,"",VLOOKUP(D24,$R$17:$X$33,7,FALSE))</f>
        <v/>
      </c>
      <c r="L24" s="199" t="str">
        <f t="shared" si="1"/>
        <v/>
      </c>
      <c r="M24" s="199" t="str">
        <f t="shared" si="2"/>
        <v/>
      </c>
      <c r="N24" s="199" t="str">
        <f t="shared" si="3"/>
        <v/>
      </c>
      <c r="O24" s="199" t="str">
        <f t="shared" si="4"/>
        <v/>
      </c>
      <c r="R24" s="1" t="s">
        <v>59</v>
      </c>
      <c r="S24" s="1">
        <v>2140</v>
      </c>
      <c r="T24" s="1" t="s">
        <v>60</v>
      </c>
      <c r="U24" s="1" t="s">
        <v>61</v>
      </c>
      <c r="V24" s="1">
        <v>0.2</v>
      </c>
      <c r="W24" s="1">
        <v>1</v>
      </c>
      <c r="X24" s="1">
        <v>0.04</v>
      </c>
    </row>
    <row r="25" spans="2:24" x14ac:dyDescent="0.25">
      <c r="B25" s="505"/>
      <c r="C25" s="508"/>
      <c r="D25" s="91" t="str">
        <f>D18</f>
        <v>Elektroenerģija no tīkla</v>
      </c>
      <c r="E25" s="198"/>
      <c r="F25" s="198"/>
      <c r="G25" s="199" t="str">
        <f t="shared" si="0"/>
        <v/>
      </c>
      <c r="H25" s="92">
        <v>1</v>
      </c>
      <c r="I25" s="19" t="str">
        <f>IF(E25+F25=0,"",VLOOKUP(D25,$R$17:$X$33,5,FALSE))</f>
        <v/>
      </c>
      <c r="J25" s="19" t="str">
        <f>IF(E25+F25=0,"",VLOOKUP(D25,$R$16:$X$32,6,FALSE))</f>
        <v/>
      </c>
      <c r="K25" s="19" t="str">
        <f>IF(E25+F25=0,"",VLOOKUP(D25,$R$17:$X$33,7,FALSE))</f>
        <v/>
      </c>
      <c r="L25" s="199" t="str">
        <f t="shared" si="1"/>
        <v/>
      </c>
      <c r="M25" s="199" t="str">
        <f t="shared" si="2"/>
        <v/>
      </c>
      <c r="N25" s="199" t="str">
        <f t="shared" si="3"/>
        <v/>
      </c>
      <c r="O25" s="199" t="str">
        <f t="shared" si="4"/>
        <v/>
      </c>
      <c r="R25" s="1" t="s">
        <v>62</v>
      </c>
      <c r="S25" s="1">
        <v>750</v>
      </c>
      <c r="T25" s="1" t="s">
        <v>63</v>
      </c>
      <c r="U25" s="1" t="s">
        <v>64</v>
      </c>
      <c r="V25" s="1">
        <v>0.2</v>
      </c>
      <c r="W25" s="1">
        <v>1</v>
      </c>
      <c r="X25" s="1">
        <v>0.04</v>
      </c>
    </row>
    <row r="26" spans="2:24" x14ac:dyDescent="0.25">
      <c r="B26" s="506"/>
      <c r="C26" s="509"/>
      <c r="D26" s="91" t="s">
        <v>284</v>
      </c>
      <c r="E26" s="198"/>
      <c r="F26" s="198"/>
      <c r="G26" s="199" t="str">
        <f t="shared" si="0"/>
        <v/>
      </c>
      <c r="H26" s="92">
        <v>1</v>
      </c>
      <c r="I26" s="19" t="str">
        <f>IF(E26+F26=0,"",VLOOKUP(D26,$R$17:$X$34,5,FALSE))</f>
        <v/>
      </c>
      <c r="J26" s="19" t="str">
        <f>IF(E26+F26=0,"",VLOOKUP(D26,$R$16:$X$34,6,FALSE))</f>
        <v/>
      </c>
      <c r="K26" s="19" t="str">
        <f>IF(E26+F26=0,"",VLOOKUP(D26,$R$17:$X$34,7,FALSE))</f>
        <v/>
      </c>
      <c r="L26" s="199" t="str">
        <f t="shared" si="1"/>
        <v/>
      </c>
      <c r="M26" s="199" t="str">
        <f t="shared" si="2"/>
        <v/>
      </c>
      <c r="N26" s="199" t="str">
        <f t="shared" si="3"/>
        <v/>
      </c>
      <c r="O26" s="199" t="str">
        <f t="shared" si="4"/>
        <v/>
      </c>
      <c r="R26" s="1" t="s">
        <v>65</v>
      </c>
      <c r="S26" s="1">
        <v>910</v>
      </c>
      <c r="T26" s="1" t="s">
        <v>63</v>
      </c>
      <c r="U26" s="1" t="s">
        <v>64</v>
      </c>
      <c r="V26" s="1">
        <v>0.2</v>
      </c>
      <c r="W26" s="1">
        <v>1</v>
      </c>
      <c r="X26" s="1">
        <v>0.04</v>
      </c>
    </row>
    <row r="27" spans="2:24" ht="14.4" customHeight="1" x14ac:dyDescent="0.25">
      <c r="B27" s="193" t="s">
        <v>286</v>
      </c>
      <c r="C27" s="200"/>
      <c r="D27" s="91" t="s">
        <v>70</v>
      </c>
      <c r="E27" s="199">
        <f>C27</f>
        <v>0</v>
      </c>
      <c r="F27" s="199"/>
      <c r="G27" s="199" t="str">
        <f>IF(E27+F27=0,"",E27+F27)</f>
        <v/>
      </c>
      <c r="H27" s="92">
        <v>1</v>
      </c>
      <c r="I27" s="19" t="str">
        <f>IF(E27+F27=0,"",VLOOKUP(D27,$R$17:$X$33,5,FALSE))</f>
        <v/>
      </c>
      <c r="J27" s="19" t="str">
        <f>IF(E27+F27=0,"",VLOOKUP(D27,$R$16:$X$32,6,FALSE))</f>
        <v/>
      </c>
      <c r="K27" s="19" t="str">
        <f>IF(E27+F27=0,"",VLOOKUP(D27,$R$17:$X$33,7,FALSE))</f>
        <v/>
      </c>
      <c r="L27" s="199" t="str">
        <f t="shared" si="1"/>
        <v/>
      </c>
      <c r="M27" s="199" t="str">
        <f t="shared" si="2"/>
        <v/>
      </c>
      <c r="N27" s="199" t="str">
        <f t="shared" si="3"/>
        <v/>
      </c>
      <c r="O27" s="199" t="str">
        <f t="shared" si="4"/>
        <v/>
      </c>
      <c r="R27" s="1" t="s">
        <v>66</v>
      </c>
      <c r="S27" s="1">
        <v>4.66</v>
      </c>
      <c r="T27" s="1" t="s">
        <v>47</v>
      </c>
      <c r="U27" s="1" t="s">
        <v>48</v>
      </c>
      <c r="V27" s="1">
        <v>0.2</v>
      </c>
      <c r="W27" s="1">
        <v>1</v>
      </c>
      <c r="X27" s="1">
        <v>0.04</v>
      </c>
    </row>
    <row r="28" spans="2:24" ht="14.4" customHeight="1" x14ac:dyDescent="0.25">
      <c r="B28" s="193" t="s">
        <v>287</v>
      </c>
      <c r="C28" s="200"/>
      <c r="D28" s="91" t="s">
        <v>70</v>
      </c>
      <c r="E28" s="199">
        <f>C28</f>
        <v>0</v>
      </c>
      <c r="F28" s="199"/>
      <c r="G28" s="199" t="str">
        <f t="shared" si="0"/>
        <v/>
      </c>
      <c r="H28" s="92">
        <v>1</v>
      </c>
      <c r="I28" s="19" t="str">
        <f>IF(E28+F28=0,"",VLOOKUP(D28,$R$17:$X$33,5,FALSE))</f>
        <v/>
      </c>
      <c r="J28" s="19" t="str">
        <f>IF(E28+F28=0,"",VLOOKUP(D28,$R$16:$X$32,6,FALSE))</f>
        <v/>
      </c>
      <c r="K28" s="19" t="str">
        <f>IF(E28+F28=0,"",VLOOKUP(D28,$R$17:$X$33,7,FALSE))</f>
        <v/>
      </c>
      <c r="L28" s="199" t="str">
        <f t="shared" si="1"/>
        <v/>
      </c>
      <c r="M28" s="199" t="str">
        <f t="shared" si="2"/>
        <v/>
      </c>
      <c r="N28" s="199" t="str">
        <f t="shared" si="3"/>
        <v/>
      </c>
      <c r="O28" s="199" t="str">
        <f t="shared" si="4"/>
        <v/>
      </c>
      <c r="R28" s="1" t="s">
        <v>67</v>
      </c>
      <c r="S28" s="1">
        <v>4.87</v>
      </c>
      <c r="T28" s="1" t="s">
        <v>47</v>
      </c>
      <c r="U28" s="1" t="s">
        <v>48</v>
      </c>
      <c r="V28" s="1">
        <v>0.2</v>
      </c>
      <c r="W28" s="1">
        <v>1</v>
      </c>
      <c r="X28" s="1">
        <v>0.04</v>
      </c>
    </row>
    <row r="29" spans="2:24" ht="14.4" customHeight="1" x14ac:dyDescent="0.25">
      <c r="B29" s="498" t="s">
        <v>288</v>
      </c>
      <c r="C29" s="493"/>
      <c r="D29" s="91" t="s">
        <v>70</v>
      </c>
      <c r="E29" s="198"/>
      <c r="F29" s="198"/>
      <c r="G29" s="199" t="str">
        <f>IF(E29+F29=0,"",E29+F29)</f>
        <v/>
      </c>
      <c r="H29" s="206">
        <v>3</v>
      </c>
      <c r="I29" s="19" t="str">
        <f>IF(E29+F29=0,"",VLOOKUP(D29,$R$17:$X$33,5,FALSE))</f>
        <v/>
      </c>
      <c r="J29" s="19" t="str">
        <f>IF(E29+F29=0,"",VLOOKUP(D29,$R$16:$X$32,6,FALSE))</f>
        <v/>
      </c>
      <c r="K29" s="19" t="str">
        <f>IF(E29+F29=0,"",VLOOKUP(D29,$R$17:$X$33,7,FALSE))</f>
        <v/>
      </c>
      <c r="L29" s="199" t="str">
        <f>IF(E29+F29=0,"",G29*I29)</f>
        <v/>
      </c>
      <c r="M29" s="199" t="str">
        <f>IF(E29+F29=0,"",G29*J29)</f>
        <v/>
      </c>
      <c r="N29" s="199" t="str">
        <f t="shared" si="3"/>
        <v/>
      </c>
      <c r="O29" s="199" t="str">
        <f t="shared" si="4"/>
        <v/>
      </c>
    </row>
    <row r="30" spans="2:24" x14ac:dyDescent="0.25">
      <c r="B30" s="499"/>
      <c r="C30" s="493"/>
      <c r="D30" s="97"/>
      <c r="E30" s="88"/>
      <c r="F30" s="198"/>
      <c r="G30" s="199" t="str">
        <f t="shared" ref="G30" si="5">IF(E30+F30=0,"",E30+F30)</f>
        <v/>
      </c>
      <c r="H30" s="92">
        <v>1</v>
      </c>
      <c r="I30" s="19" t="str">
        <f>IF(E30+F30=0,"",VLOOKUP(D30,$R$17:$X$33,5,FALSE))</f>
        <v/>
      </c>
      <c r="J30" s="19" t="str">
        <f>IF(E30+F30=0,"",VLOOKUP(D30,$R$16:$X$32,6,FALSE))</f>
        <v/>
      </c>
      <c r="K30" s="19" t="str">
        <f>IF(E30+F30=0,"",VLOOKUP(D30,$R$17:$X$33,7,FALSE))</f>
        <v/>
      </c>
      <c r="L30" s="199" t="str">
        <f t="shared" si="1"/>
        <v/>
      </c>
      <c r="M30" s="199" t="str">
        <f t="shared" si="2"/>
        <v/>
      </c>
      <c r="N30" s="199" t="str">
        <f t="shared" si="3"/>
        <v/>
      </c>
      <c r="O30" s="199" t="str">
        <f>IF(E30+F30=0,"",G30*K30)</f>
        <v/>
      </c>
      <c r="R30" s="1" t="s">
        <v>68</v>
      </c>
      <c r="S30" s="1">
        <v>10.33</v>
      </c>
      <c r="T30" s="1" t="s">
        <v>47</v>
      </c>
      <c r="U30" s="1" t="s">
        <v>48</v>
      </c>
      <c r="V30" s="1">
        <v>0.5</v>
      </c>
      <c r="W30" s="1">
        <v>1</v>
      </c>
      <c r="X30" s="1">
        <v>7.0000000000000007E-2</v>
      </c>
    </row>
    <row r="31" spans="2:24" ht="14.4" customHeight="1" x14ac:dyDescent="0.25">
      <c r="B31" s="518" t="s">
        <v>289</v>
      </c>
      <c r="C31" s="518"/>
      <c r="D31" s="518"/>
      <c r="E31" s="518"/>
      <c r="F31" s="518"/>
      <c r="G31" s="88"/>
      <c r="H31" s="92"/>
      <c r="I31" s="19">
        <v>-1.9</v>
      </c>
      <c r="J31" s="19">
        <v>0.4</v>
      </c>
      <c r="K31" s="19">
        <v>-0.109</v>
      </c>
      <c r="L31" s="199">
        <f>IF(G31=0,0,IF(G31="",0,G31/H31*I31))</f>
        <v>0</v>
      </c>
      <c r="M31" s="199">
        <f>IF(G31=0,0,IF(G31="",0,G31/H31*J31))</f>
        <v>0</v>
      </c>
      <c r="N31" s="199">
        <f>IF(G31=0,0,IF(G31="",0,L31+M31))</f>
        <v>0</v>
      </c>
      <c r="O31" s="199">
        <f>IF(G31=0,0,IF(G31="",0,G31/H31*K31))</f>
        <v>0</v>
      </c>
      <c r="R31" s="1" t="s">
        <v>69</v>
      </c>
      <c r="S31" s="1">
        <v>7.44</v>
      </c>
      <c r="T31" s="1" t="s">
        <v>47</v>
      </c>
      <c r="U31" s="1" t="s">
        <v>48</v>
      </c>
      <c r="V31" s="1">
        <v>0.1</v>
      </c>
      <c r="W31" s="1">
        <v>1</v>
      </c>
      <c r="X31" s="1">
        <v>0.1</v>
      </c>
    </row>
    <row r="32" spans="2:24" ht="16.2" customHeight="1" x14ac:dyDescent="0.3">
      <c r="B32" s="126"/>
      <c r="C32" s="126"/>
      <c r="D32" s="235"/>
      <c r="E32" s="510"/>
      <c r="F32" s="510"/>
      <c r="G32" s="246"/>
      <c r="H32" s="130"/>
      <c r="I32" s="126"/>
      <c r="J32" s="126"/>
      <c r="K32" s="129" t="s">
        <v>290</v>
      </c>
      <c r="L32" s="201">
        <f>SUM(L13:L31)</f>
        <v>0</v>
      </c>
      <c r="M32" s="201">
        <f t="shared" ref="M32:O32" si="6">SUM(M13:M31)</f>
        <v>0</v>
      </c>
      <c r="N32" s="201">
        <f t="shared" si="6"/>
        <v>0</v>
      </c>
      <c r="O32" s="201">
        <f t="shared" si="6"/>
        <v>0</v>
      </c>
      <c r="R32" s="1" t="s">
        <v>70</v>
      </c>
      <c r="V32" s="1">
        <v>1.9</v>
      </c>
      <c r="W32" s="1">
        <v>0.6</v>
      </c>
      <c r="X32" s="1">
        <v>0.109</v>
      </c>
    </row>
    <row r="33" spans="2:24" ht="9.6" customHeight="1" x14ac:dyDescent="0.25">
      <c r="B33" s="123"/>
      <c r="C33" s="122"/>
      <c r="D33" s="122"/>
      <c r="E33" s="122"/>
      <c r="F33" s="122"/>
      <c r="G33" s="122"/>
      <c r="H33" s="122"/>
      <c r="I33" s="122"/>
      <c r="J33" s="122"/>
      <c r="K33" s="122"/>
      <c r="L33" s="122"/>
      <c r="M33" s="122"/>
      <c r="N33" s="122"/>
      <c r="O33" s="122"/>
      <c r="R33" s="1" t="s">
        <v>50</v>
      </c>
      <c r="S33" s="1">
        <v>12.65</v>
      </c>
      <c r="T33" s="1" t="s">
        <v>47</v>
      </c>
      <c r="U33" s="1" t="s">
        <v>48</v>
      </c>
      <c r="V33" s="1">
        <v>1.1000000000000001</v>
      </c>
      <c r="W33" s="1">
        <v>0</v>
      </c>
      <c r="X33" s="1">
        <v>0.22700000000000001</v>
      </c>
    </row>
    <row r="34" spans="2:24" ht="18" x14ac:dyDescent="0.25">
      <c r="B34" s="472" t="s">
        <v>291</v>
      </c>
      <c r="C34" s="511"/>
      <c r="D34" s="512"/>
      <c r="E34" s="512"/>
      <c r="F34" s="512"/>
      <c r="G34" s="512"/>
      <c r="H34" s="512"/>
      <c r="I34" s="512"/>
      <c r="J34" s="512"/>
      <c r="K34" s="512"/>
      <c r="L34" s="512"/>
      <c r="M34" s="512"/>
      <c r="N34" s="512"/>
      <c r="O34" s="513"/>
      <c r="R34" s="1" t="s">
        <v>284</v>
      </c>
      <c r="V34" s="1">
        <v>0</v>
      </c>
      <c r="W34" s="1">
        <v>1</v>
      </c>
      <c r="X34" s="1">
        <v>0</v>
      </c>
    </row>
    <row r="35" spans="2:24" ht="13.95" customHeight="1" x14ac:dyDescent="0.25">
      <c r="B35" s="476" t="s">
        <v>260</v>
      </c>
      <c r="C35" s="464" t="s">
        <v>261</v>
      </c>
      <c r="D35" s="477" t="s">
        <v>262</v>
      </c>
      <c r="E35" s="478" t="s">
        <v>263</v>
      </c>
      <c r="F35" s="479"/>
      <c r="G35" s="480"/>
      <c r="H35" s="464" t="s">
        <v>264</v>
      </c>
      <c r="I35" s="464" t="s">
        <v>265</v>
      </c>
      <c r="J35" s="464" t="s">
        <v>266</v>
      </c>
      <c r="K35" s="464" t="s">
        <v>267</v>
      </c>
      <c r="L35" s="489" t="s">
        <v>268</v>
      </c>
      <c r="M35" s="490"/>
      <c r="N35" s="490"/>
      <c r="O35" s="491"/>
    </row>
    <row r="36" spans="2:24" ht="44.4" customHeight="1" x14ac:dyDescent="0.25">
      <c r="B36" s="476"/>
      <c r="C36" s="465"/>
      <c r="D36" s="477"/>
      <c r="E36" s="128" t="s">
        <v>269</v>
      </c>
      <c r="F36" s="128" t="s">
        <v>270</v>
      </c>
      <c r="G36" s="128" t="s">
        <v>271</v>
      </c>
      <c r="H36" s="465"/>
      <c r="I36" s="465"/>
      <c r="J36" s="465"/>
      <c r="K36" s="466"/>
      <c r="L36" s="128" t="s">
        <v>272</v>
      </c>
      <c r="M36" s="128" t="s">
        <v>292</v>
      </c>
      <c r="N36" s="238" t="s">
        <v>274</v>
      </c>
      <c r="O36" s="239" t="s">
        <v>275</v>
      </c>
    </row>
    <row r="37" spans="2:24" x14ac:dyDescent="0.25">
      <c r="B37" s="476"/>
      <c r="C37" s="240" t="s">
        <v>226</v>
      </c>
      <c r="D37" s="477"/>
      <c r="E37" s="240" t="s">
        <v>226</v>
      </c>
      <c r="F37" s="240" t="s">
        <v>226</v>
      </c>
      <c r="G37" s="240" t="s">
        <v>226</v>
      </c>
      <c r="H37" s="466"/>
      <c r="I37" s="466"/>
      <c r="J37" s="466"/>
      <c r="K37" s="240" t="s">
        <v>276</v>
      </c>
      <c r="L37" s="241" t="s">
        <v>226</v>
      </c>
      <c r="M37" s="241" t="s">
        <v>226</v>
      </c>
      <c r="N37" s="234" t="s">
        <v>226</v>
      </c>
      <c r="O37" s="234" t="s">
        <v>277</v>
      </c>
    </row>
    <row r="38" spans="2:24" ht="9.6" customHeight="1" x14ac:dyDescent="0.25">
      <c r="B38" s="86">
        <v>1</v>
      </c>
      <c r="C38" s="85">
        <v>2</v>
      </c>
      <c r="D38" s="86">
        <v>3</v>
      </c>
      <c r="E38" s="85">
        <v>4</v>
      </c>
      <c r="F38" s="86">
        <v>5</v>
      </c>
      <c r="G38" s="85">
        <v>6</v>
      </c>
      <c r="H38" s="86">
        <v>7</v>
      </c>
      <c r="I38" s="85">
        <v>8</v>
      </c>
      <c r="J38" s="86">
        <v>9</v>
      </c>
      <c r="K38" s="85">
        <v>10</v>
      </c>
      <c r="L38" s="86">
        <v>11</v>
      </c>
      <c r="M38" s="85">
        <v>12</v>
      </c>
      <c r="N38" s="86">
        <v>13</v>
      </c>
      <c r="O38" s="85">
        <v>14</v>
      </c>
    </row>
    <row r="39" spans="2:24" x14ac:dyDescent="0.25">
      <c r="B39" s="498" t="s">
        <v>278</v>
      </c>
      <c r="C39" s="501">
        <f>'3.lapa_Situācija pēc'!J70</f>
        <v>0</v>
      </c>
      <c r="D39" s="97" t="s">
        <v>49</v>
      </c>
      <c r="E39" s="198"/>
      <c r="F39" s="198"/>
      <c r="G39" s="199" t="str">
        <f t="shared" ref="G39:G56" si="7">IF(E39+F39=0,"",E39+F39)</f>
        <v/>
      </c>
      <c r="H39" s="89"/>
      <c r="I39" s="19" t="str">
        <f>IF(E39+F39=0,"",VLOOKUP(D39,$R$17:$X$33,5,FALSE))</f>
        <v/>
      </c>
      <c r="J39" s="19" t="str">
        <f>IF(E39+F39=0,"",VLOOKUP(D39,$R$16:$X$32,6,FALSE))</f>
        <v/>
      </c>
      <c r="K39" s="19" t="str">
        <f>IF(E39+F39=0,"",VLOOKUP(D39,$R$17:$X$33,7,FALSE))</f>
        <v/>
      </c>
      <c r="L39" s="199" t="str">
        <f>IF(E39+F39=0,"",G39/H39*I39)</f>
        <v/>
      </c>
      <c r="M39" s="199" t="str">
        <f>IF(E39+F39=0,"",G39/H39*J39)</f>
        <v/>
      </c>
      <c r="N39" s="199" t="str">
        <f>IF(E39+F39=0,"",L39+M39)</f>
        <v/>
      </c>
      <c r="O39" s="199" t="str">
        <f>IF(E39+F39=0,"",G39/H39*K39)</f>
        <v/>
      </c>
    </row>
    <row r="40" spans="2:24" x14ac:dyDescent="0.25">
      <c r="B40" s="500"/>
      <c r="C40" s="502"/>
      <c r="D40" s="97"/>
      <c r="E40" s="198"/>
      <c r="F40" s="198"/>
      <c r="G40" s="199" t="str">
        <f t="shared" si="7"/>
        <v/>
      </c>
      <c r="H40" s="89"/>
      <c r="I40" s="19" t="str">
        <f>IF(E40+F40=0,"",VLOOKUP(D40,$R$17:$X$33,5,FALSE))</f>
        <v/>
      </c>
      <c r="J40" s="19" t="str">
        <f>IF(E40+F40=0,"",VLOOKUP(D40,$R$16:$X$32,6,FALSE))</f>
        <v/>
      </c>
      <c r="K40" s="19" t="str">
        <f>IF(E40+F40=0,"",VLOOKUP(D40,$R$17:$X$33,7,FALSE))</f>
        <v/>
      </c>
      <c r="L40" s="199" t="str">
        <f t="shared" ref="L40:L54" si="8">IF(E40+F40=0,"",G40/H40*I40)</f>
        <v/>
      </c>
      <c r="M40" s="199" t="str">
        <f t="shared" ref="M40:M54" si="9">IF(E40+F40=0,"",G40/H40*J40)</f>
        <v/>
      </c>
      <c r="N40" s="199" t="str">
        <f t="shared" ref="N40:N55" si="10">IF(E40+F40=0,"",L40+M40)</f>
        <v/>
      </c>
      <c r="O40" s="199" t="str">
        <f t="shared" ref="O40:O54" si="11">IF(E40+F40=0,"",G40/H40*K40)</f>
        <v/>
      </c>
    </row>
    <row r="41" spans="2:24" x14ac:dyDescent="0.25">
      <c r="B41" s="500"/>
      <c r="C41" s="502"/>
      <c r="D41" s="97"/>
      <c r="E41" s="198"/>
      <c r="F41" s="198"/>
      <c r="G41" s="199" t="str">
        <f t="shared" si="7"/>
        <v/>
      </c>
      <c r="H41" s="89"/>
      <c r="I41" s="19" t="str">
        <f>IF(E41+F41=0,"",VLOOKUP(D41,$R$17:$X$33,5,FALSE))</f>
        <v/>
      </c>
      <c r="J41" s="19" t="str">
        <f>IF(E41+F41=0,"",VLOOKUP(D41,$R$16:$X$32,6,FALSE))</f>
        <v/>
      </c>
      <c r="K41" s="19" t="str">
        <f>IF(E41+F41=0,"",VLOOKUP(D41,$R$17:$X$33,7,FALSE))</f>
        <v/>
      </c>
      <c r="L41" s="199" t="str">
        <f t="shared" si="8"/>
        <v/>
      </c>
      <c r="M41" s="199" t="str">
        <f t="shared" si="9"/>
        <v/>
      </c>
      <c r="N41" s="199" t="str">
        <f t="shared" si="10"/>
        <v/>
      </c>
      <c r="O41" s="199" t="str">
        <f t="shared" si="11"/>
        <v/>
      </c>
    </row>
    <row r="42" spans="2:24" x14ac:dyDescent="0.25">
      <c r="B42" s="500"/>
      <c r="C42" s="502"/>
      <c r="D42" s="90" t="s">
        <v>280</v>
      </c>
      <c r="E42" s="198"/>
      <c r="F42" s="198"/>
      <c r="G42" s="199" t="str">
        <f t="shared" si="7"/>
        <v/>
      </c>
      <c r="H42" s="19">
        <v>1</v>
      </c>
      <c r="I42" s="93" t="str">
        <f>IF(E42+F42=0,"",'6.lapa_Centralizētā'!$C$13)</f>
        <v/>
      </c>
      <c r="J42" s="93" t="str">
        <f>IF(E42+F42=0,"",'6.lapa_Centralizētā'!$D$13)</f>
        <v/>
      </c>
      <c r="K42" s="19" t="str">
        <f>IF(E42+F42=0,"",'6.lapa_Centralizētā'!$E$24)</f>
        <v/>
      </c>
      <c r="L42" s="199" t="str">
        <f t="shared" si="8"/>
        <v/>
      </c>
      <c r="M42" s="199" t="str">
        <f t="shared" si="9"/>
        <v/>
      </c>
      <c r="N42" s="199" t="str">
        <f t="shared" si="10"/>
        <v/>
      </c>
      <c r="O42" s="199" t="str">
        <f t="shared" si="11"/>
        <v/>
      </c>
    </row>
    <row r="43" spans="2:24" x14ac:dyDescent="0.25">
      <c r="B43" s="500"/>
      <c r="C43" s="502"/>
      <c r="D43" s="91" t="s">
        <v>75</v>
      </c>
      <c r="E43" s="198"/>
      <c r="F43" s="198"/>
      <c r="G43" s="199" t="str">
        <f t="shared" si="7"/>
        <v/>
      </c>
      <c r="H43" s="92">
        <v>1</v>
      </c>
      <c r="I43" s="19">
        <v>0</v>
      </c>
      <c r="J43" s="19">
        <v>1</v>
      </c>
      <c r="K43" s="19">
        <v>0</v>
      </c>
      <c r="L43" s="199" t="str">
        <f t="shared" si="8"/>
        <v/>
      </c>
      <c r="M43" s="199" t="str">
        <f t="shared" si="9"/>
        <v/>
      </c>
      <c r="N43" s="199" t="str">
        <f t="shared" si="10"/>
        <v/>
      </c>
      <c r="O43" s="199" t="str">
        <f t="shared" si="11"/>
        <v/>
      </c>
    </row>
    <row r="44" spans="2:24" x14ac:dyDescent="0.25">
      <c r="B44" s="500"/>
      <c r="C44" s="502"/>
      <c r="D44" s="91" t="s">
        <v>70</v>
      </c>
      <c r="E44" s="198"/>
      <c r="F44" s="198"/>
      <c r="G44" s="199">
        <f>IF(E44+F44=0,0,E44+F44)</f>
        <v>0</v>
      </c>
      <c r="H44" s="92">
        <v>1</v>
      </c>
      <c r="I44" s="19" t="str">
        <f>IF(E44+F44=0,"",VLOOKUP(D44,$R$17:$X$33,5,FALSE))</f>
        <v/>
      </c>
      <c r="J44" s="19" t="str">
        <f>IF(E44+F44=0,"",VLOOKUP(D44,$R$16:$X$32,6,FALSE))</f>
        <v/>
      </c>
      <c r="K44" s="19" t="str">
        <f>IF(E44+F44=0,"",VLOOKUP(D44,$R$17:$X$33,7,FALSE))</f>
        <v/>
      </c>
      <c r="L44" s="199" t="str">
        <f t="shared" si="8"/>
        <v/>
      </c>
      <c r="M44" s="199" t="str">
        <f t="shared" si="9"/>
        <v/>
      </c>
      <c r="N44" s="199" t="str">
        <f t="shared" si="10"/>
        <v/>
      </c>
      <c r="O44" s="199" t="str">
        <f t="shared" si="11"/>
        <v/>
      </c>
    </row>
    <row r="45" spans="2:24" x14ac:dyDescent="0.25">
      <c r="B45" s="499"/>
      <c r="C45" s="503"/>
      <c r="D45" s="91" t="s">
        <v>284</v>
      </c>
      <c r="E45" s="198"/>
      <c r="F45" s="198"/>
      <c r="G45" s="199" t="str">
        <f t="shared" si="7"/>
        <v/>
      </c>
      <c r="H45" s="92">
        <v>1</v>
      </c>
      <c r="I45" s="19" t="str">
        <f>IF(E45+F45=0,"",VLOOKUP(D45,$R$17:$X$34,5,FALSE))</f>
        <v/>
      </c>
      <c r="J45" s="19" t="str">
        <f>IF(E45+F45=0,"",VLOOKUP(D45,$R$16:$X$34,6,FALSE))</f>
        <v/>
      </c>
      <c r="K45" s="19" t="str">
        <f>IF(E45+F45=0,"",VLOOKUP(D45,$R$17:$X$34,7,FALSE))</f>
        <v/>
      </c>
      <c r="L45" s="199" t="str">
        <f t="shared" si="8"/>
        <v/>
      </c>
      <c r="M45" s="199" t="str">
        <f>IF(E45+F45=0,"",G45*J45)</f>
        <v/>
      </c>
      <c r="N45" s="199" t="str">
        <f t="shared" si="10"/>
        <v/>
      </c>
      <c r="O45" s="199" t="str">
        <f t="shared" si="11"/>
        <v/>
      </c>
    </row>
    <row r="46" spans="2:24" ht="13.95" customHeight="1" x14ac:dyDescent="0.25">
      <c r="B46" s="504" t="s">
        <v>293</v>
      </c>
      <c r="C46" s="507"/>
      <c r="D46" s="97"/>
      <c r="E46" s="198"/>
      <c r="F46" s="198"/>
      <c r="G46" s="199" t="str">
        <f t="shared" si="7"/>
        <v/>
      </c>
      <c r="H46" s="89"/>
      <c r="I46" s="19" t="str">
        <f>IF(E46+F46=0,"",VLOOKUP(D46,$R$17:$X$33,5,FALSE))</f>
        <v/>
      </c>
      <c r="J46" s="19" t="str">
        <f>IF(E46+F46=0,"",VLOOKUP(D46,$R$16:$X$32,6,FALSE))</f>
        <v/>
      </c>
      <c r="K46" s="19" t="str">
        <f>IF(E46+F46=0,"",VLOOKUP(D46,$R$17:$X$33,7,FALSE))</f>
        <v/>
      </c>
      <c r="L46" s="199" t="str">
        <f t="shared" si="8"/>
        <v/>
      </c>
      <c r="M46" s="199" t="str">
        <f t="shared" si="9"/>
        <v/>
      </c>
      <c r="N46" s="199" t="str">
        <f t="shared" si="10"/>
        <v/>
      </c>
      <c r="O46" s="199" t="str">
        <f t="shared" si="11"/>
        <v/>
      </c>
    </row>
    <row r="47" spans="2:24" x14ac:dyDescent="0.25">
      <c r="B47" s="505"/>
      <c r="C47" s="508"/>
      <c r="D47" s="97"/>
      <c r="E47" s="198"/>
      <c r="F47" s="198"/>
      <c r="G47" s="199" t="str">
        <f t="shared" si="7"/>
        <v/>
      </c>
      <c r="H47" s="89"/>
      <c r="I47" s="19" t="str">
        <f>IF(E47+F47=0,"",VLOOKUP(D47,$R$17:$X$33,5,FALSE))</f>
        <v/>
      </c>
      <c r="J47" s="19" t="str">
        <f>IF(E47+F47=0,"",VLOOKUP(D47,$R$16:$X$32,6,FALSE))</f>
        <v/>
      </c>
      <c r="K47" s="19" t="str">
        <f>IF(E47+F47=0,"",VLOOKUP(D47,$R$17:$X$33,7,FALSE))</f>
        <v/>
      </c>
      <c r="L47" s="199" t="str">
        <f t="shared" si="8"/>
        <v/>
      </c>
      <c r="M47" s="199" t="str">
        <f t="shared" si="9"/>
        <v/>
      </c>
      <c r="N47" s="199" t="str">
        <f t="shared" si="10"/>
        <v/>
      </c>
      <c r="O47" s="199" t="str">
        <f t="shared" si="11"/>
        <v/>
      </c>
    </row>
    <row r="48" spans="2:24" x14ac:dyDescent="0.25">
      <c r="B48" s="505"/>
      <c r="C48" s="508"/>
      <c r="D48" s="97"/>
      <c r="E48" s="198"/>
      <c r="F48" s="198"/>
      <c r="G48" s="199" t="str">
        <f t="shared" si="7"/>
        <v/>
      </c>
      <c r="H48" s="89"/>
      <c r="I48" s="19" t="str">
        <f>IF(E48+F48=0,"",VLOOKUP(D48,$R$17:$X$33,5,FALSE))</f>
        <v/>
      </c>
      <c r="J48" s="19" t="str">
        <f>IF(E48+F48=0,"",VLOOKUP(D48,$R$16:$X$32,6,FALSE))</f>
        <v/>
      </c>
      <c r="K48" s="19" t="str">
        <f>IF(E48+F48=0,"",VLOOKUP(D48,$R$17:$X$33,7,FALSE))</f>
        <v/>
      </c>
      <c r="L48" s="199" t="str">
        <f t="shared" si="8"/>
        <v/>
      </c>
      <c r="M48" s="199" t="str">
        <f t="shared" si="9"/>
        <v/>
      </c>
      <c r="N48" s="199" t="str">
        <f t="shared" si="10"/>
        <v/>
      </c>
      <c r="O48" s="199" t="str">
        <f t="shared" si="11"/>
        <v/>
      </c>
    </row>
    <row r="49" spans="2:19" x14ac:dyDescent="0.25">
      <c r="B49" s="505"/>
      <c r="C49" s="508"/>
      <c r="D49" s="90" t="s">
        <v>280</v>
      </c>
      <c r="E49" s="198"/>
      <c r="F49" s="198"/>
      <c r="G49" s="199" t="str">
        <f t="shared" si="7"/>
        <v/>
      </c>
      <c r="H49" s="19">
        <v>1</v>
      </c>
      <c r="I49" s="93" t="str">
        <f>IF(E49+F49=0,"",'6.lapa_Centralizētā'!$C$13)</f>
        <v/>
      </c>
      <c r="J49" s="93" t="str">
        <f>IF(E49+F49=0,"",'6.lapa_Centralizētā'!$D$13)</f>
        <v/>
      </c>
      <c r="K49" s="19" t="str">
        <f>IF(E49+F49=0,"",'6.lapa_Centralizētā'!$E$24)</f>
        <v/>
      </c>
      <c r="L49" s="199" t="str">
        <f t="shared" si="8"/>
        <v/>
      </c>
      <c r="M49" s="199" t="str">
        <f t="shared" si="9"/>
        <v/>
      </c>
      <c r="N49" s="199" t="str">
        <f t="shared" si="10"/>
        <v/>
      </c>
      <c r="O49" s="199" t="str">
        <f t="shared" si="11"/>
        <v/>
      </c>
    </row>
    <row r="50" spans="2:19" x14ac:dyDescent="0.25">
      <c r="B50" s="505"/>
      <c r="C50" s="508"/>
      <c r="D50" s="91" t="s">
        <v>75</v>
      </c>
      <c r="E50" s="198"/>
      <c r="F50" s="198"/>
      <c r="G50" s="199" t="str">
        <f t="shared" si="7"/>
        <v/>
      </c>
      <c r="H50" s="92">
        <v>1</v>
      </c>
      <c r="I50" s="19">
        <v>0</v>
      </c>
      <c r="J50" s="19">
        <v>1</v>
      </c>
      <c r="K50" s="19">
        <v>0</v>
      </c>
      <c r="L50" s="199" t="str">
        <f t="shared" si="8"/>
        <v/>
      </c>
      <c r="M50" s="199" t="str">
        <f t="shared" si="9"/>
        <v/>
      </c>
      <c r="N50" s="199" t="str">
        <f t="shared" si="10"/>
        <v/>
      </c>
      <c r="O50" s="199" t="str">
        <f t="shared" si="11"/>
        <v/>
      </c>
    </row>
    <row r="51" spans="2:19" x14ac:dyDescent="0.25">
      <c r="B51" s="505"/>
      <c r="C51" s="508"/>
      <c r="D51" s="91" t="str">
        <f>D44</f>
        <v>Elektroenerģija no tīkla</v>
      </c>
      <c r="E51" s="198"/>
      <c r="F51" s="198"/>
      <c r="G51" s="199">
        <f>IF(E51+F51=0,0,E51+F51)</f>
        <v>0</v>
      </c>
      <c r="H51" s="92">
        <v>1</v>
      </c>
      <c r="I51" s="19" t="str">
        <f>IF(E51+F51=0,"",VLOOKUP(D51,$R$17:$X$33,5,FALSE))</f>
        <v/>
      </c>
      <c r="J51" s="19" t="str">
        <f>IF(E51+F51=0,"",VLOOKUP(D51,$R$16:$X$32,6,FALSE))</f>
        <v/>
      </c>
      <c r="K51" s="19" t="str">
        <f>IF(E51+F51=0,"",VLOOKUP(D51,$R$17:$X$33,7,FALSE))</f>
        <v/>
      </c>
      <c r="L51" s="199" t="str">
        <f t="shared" si="8"/>
        <v/>
      </c>
      <c r="M51" s="199" t="str">
        <f t="shared" si="9"/>
        <v/>
      </c>
      <c r="N51" s="199" t="str">
        <f t="shared" si="10"/>
        <v/>
      </c>
      <c r="O51" s="199" t="str">
        <f t="shared" si="11"/>
        <v/>
      </c>
      <c r="P51" s="127"/>
    </row>
    <row r="52" spans="2:19" x14ac:dyDescent="0.25">
      <c r="B52" s="506"/>
      <c r="C52" s="509"/>
      <c r="D52" s="91" t="s">
        <v>284</v>
      </c>
      <c r="E52" s="198"/>
      <c r="F52" s="198"/>
      <c r="G52" s="199" t="str">
        <f t="shared" si="7"/>
        <v/>
      </c>
      <c r="H52" s="92">
        <v>1</v>
      </c>
      <c r="I52" s="19" t="str">
        <f>IF(E52+F52=0,"",VLOOKUP(D52,$R$17:$X$34,5,FALSE))</f>
        <v/>
      </c>
      <c r="J52" s="19" t="str">
        <f>IF(E52+F52=0,"",VLOOKUP(D52,$R$16:$X$34,6,FALSE))</f>
        <v/>
      </c>
      <c r="K52" s="19" t="str">
        <f>IF(E52+F52=0,"",VLOOKUP(D52,$R$17:$X$34,7,FALSE))</f>
        <v/>
      </c>
      <c r="L52" s="199" t="str">
        <f t="shared" si="8"/>
        <v/>
      </c>
      <c r="M52" s="199" t="str">
        <f>IF(E52+F52=0,"",G52*J52)</f>
        <v/>
      </c>
      <c r="N52" s="199" t="str">
        <f t="shared" si="10"/>
        <v/>
      </c>
      <c r="O52" s="199" t="str">
        <f t="shared" si="11"/>
        <v/>
      </c>
    </row>
    <row r="53" spans="2:19" ht="14.4" customHeight="1" x14ac:dyDescent="0.25">
      <c r="B53" s="193" t="s">
        <v>286</v>
      </c>
      <c r="C53" s="198"/>
      <c r="D53" s="91" t="s">
        <v>70</v>
      </c>
      <c r="E53" s="199">
        <f>C53</f>
        <v>0</v>
      </c>
      <c r="F53" s="199"/>
      <c r="G53" s="199">
        <f>IF(E53+F53=0,0,E53+F53)</f>
        <v>0</v>
      </c>
      <c r="H53" s="92">
        <v>1</v>
      </c>
      <c r="I53" s="19" t="str">
        <f>IF(E53+F53=0,"",VLOOKUP(D53,$R$17:$X$33,5,FALSE))</f>
        <v/>
      </c>
      <c r="J53" s="19" t="str">
        <f>IF(E53+F53=0,"",VLOOKUP(D53,$R$16:$X$32,6,FALSE))</f>
        <v/>
      </c>
      <c r="K53" s="19" t="str">
        <f>IF(E53+F53=0,"",VLOOKUP(D53,$R$17:$X$33,7,FALSE))</f>
        <v/>
      </c>
      <c r="L53" s="199" t="str">
        <f t="shared" si="8"/>
        <v/>
      </c>
      <c r="M53" s="199" t="str">
        <f t="shared" si="9"/>
        <v/>
      </c>
      <c r="N53" s="199" t="str">
        <f t="shared" si="10"/>
        <v/>
      </c>
      <c r="O53" s="199" t="str">
        <f t="shared" si="11"/>
        <v/>
      </c>
      <c r="P53" s="127"/>
    </row>
    <row r="54" spans="2:19" ht="14.4" customHeight="1" x14ac:dyDescent="0.25">
      <c r="B54" s="193" t="s">
        <v>287</v>
      </c>
      <c r="C54" s="200"/>
      <c r="D54" s="91" t="s">
        <v>70</v>
      </c>
      <c r="E54" s="199">
        <f>C54</f>
        <v>0</v>
      </c>
      <c r="F54" s="199"/>
      <c r="G54" s="199">
        <f>IF(E54+F54=0,0,E54+F54)</f>
        <v>0</v>
      </c>
      <c r="H54" s="92">
        <v>1</v>
      </c>
      <c r="I54" s="19" t="str">
        <f>IF(E54+F54=0,"",VLOOKUP(D54,$R$17:$X$33,5,FALSE))</f>
        <v/>
      </c>
      <c r="J54" s="19" t="str">
        <f>IF(E54+F54=0,"",VLOOKUP(D54,$R$16:$X$32,6,FALSE))</f>
        <v/>
      </c>
      <c r="K54" s="19" t="str">
        <f>IF(E54+F54=0,"",VLOOKUP(D54,$R$17:$X$33,7,FALSE))</f>
        <v/>
      </c>
      <c r="L54" s="199" t="str">
        <f t="shared" si="8"/>
        <v/>
      </c>
      <c r="M54" s="199" t="str">
        <f t="shared" si="9"/>
        <v/>
      </c>
      <c r="N54" s="199" t="str">
        <f t="shared" si="10"/>
        <v/>
      </c>
      <c r="O54" s="199" t="str">
        <f t="shared" si="11"/>
        <v/>
      </c>
    </row>
    <row r="55" spans="2:19" ht="14.4" customHeight="1" x14ac:dyDescent="0.25">
      <c r="B55" s="521" t="s">
        <v>288</v>
      </c>
      <c r="C55" s="493"/>
      <c r="D55" s="91" t="s">
        <v>70</v>
      </c>
      <c r="E55" s="198"/>
      <c r="F55" s="198"/>
      <c r="G55" s="199">
        <f>IF(E55+F55=0,0,E55+F55)</f>
        <v>0</v>
      </c>
      <c r="H55" s="206"/>
      <c r="I55" s="19" t="str">
        <f>IF(E55+F55=0,"",VLOOKUP(D55,$R$17:$X$33,5,FALSE))</f>
        <v/>
      </c>
      <c r="J55" s="19" t="str">
        <f>IF(E55+F55=0,"",VLOOKUP(D55,$R$16:$X$32,6,FALSE))</f>
        <v/>
      </c>
      <c r="K55" s="19" t="str">
        <f>IF(E55+F55=0,"",VLOOKUP(D55,$R$17:$X$33,7,FALSE))</f>
        <v/>
      </c>
      <c r="L55" s="199" t="str">
        <f>IF(E55+F55=0,"",G55*I55)</f>
        <v/>
      </c>
      <c r="M55" s="199" t="str">
        <f>IF(E55+F55=0,"",G55*J55)</f>
        <v/>
      </c>
      <c r="N55" s="199" t="str">
        <f t="shared" si="10"/>
        <v/>
      </c>
      <c r="O55" s="199" t="str">
        <f>IF(E55+F55=0,"",G55*K55)</f>
        <v/>
      </c>
    </row>
    <row r="56" spans="2:19" x14ac:dyDescent="0.25">
      <c r="B56" s="521"/>
      <c r="C56" s="493"/>
      <c r="D56" s="97"/>
      <c r="E56" s="198"/>
      <c r="F56" s="198"/>
      <c r="G56" s="199" t="str">
        <f t="shared" si="7"/>
        <v/>
      </c>
      <c r="H56" s="92">
        <v>1</v>
      </c>
      <c r="I56" s="19" t="str">
        <f>IF(E56+F56=0,"",VLOOKUP(D56,$R$17:$X$33,5,FALSE))</f>
        <v/>
      </c>
      <c r="J56" s="19" t="str">
        <f>IF(E56+F56=0,"",VLOOKUP(D56,$R$16:$X$32,6,FALSE))</f>
        <v/>
      </c>
      <c r="K56" s="19" t="str">
        <f>IF(E56+F56=0,"",VLOOKUP(D56,$R$17:$X$33,7,FALSE))</f>
        <v/>
      </c>
      <c r="L56" s="199" t="str">
        <f>IF(E56+F56=0,"",G56*I56)</f>
        <v/>
      </c>
      <c r="M56" s="199" t="str">
        <f>IF(E56+F56=0,"",G56*J56)</f>
        <v/>
      </c>
      <c r="N56" s="199" t="str">
        <f t="shared" ref="N56" si="12">IF(E56+F56=0,"",L56+M56)</f>
        <v/>
      </c>
      <c r="O56" s="199" t="str">
        <f>IF(E56+F56=0,"",G56*K56)</f>
        <v/>
      </c>
      <c r="P56" s="127"/>
    </row>
    <row r="57" spans="2:19" ht="14.4" customHeight="1" x14ac:dyDescent="0.25">
      <c r="B57" s="494" t="s">
        <v>294</v>
      </c>
      <c r="C57" s="495"/>
      <c r="D57" s="495"/>
      <c r="E57" s="495"/>
      <c r="F57" s="496"/>
      <c r="G57" s="199">
        <f>IFERROR(IF(L64&gt;G44+G51+G53+G54+G55,G44+G51+G53+G54+G55,L64),"")</f>
        <v>0</v>
      </c>
      <c r="H57" s="19"/>
      <c r="I57" s="19">
        <v>-1.9</v>
      </c>
      <c r="J57" s="19">
        <v>0.4</v>
      </c>
      <c r="K57" s="19">
        <v>-0.109</v>
      </c>
      <c r="L57" s="199">
        <f>IF(G57=0,0,IF(G57="",0,G57*I57))</f>
        <v>0</v>
      </c>
      <c r="M57" s="199">
        <f>IF(G57=0,0,IF(G57="",0,G57*J57))</f>
        <v>0</v>
      </c>
      <c r="N57" s="199">
        <f>IF(G57=0,0,IF(G57="",0,L57+M57))</f>
        <v>0</v>
      </c>
      <c r="O57" s="199">
        <f>IF(G57=0,0,IF(G57="",0,G57*K57))</f>
        <v>0</v>
      </c>
      <c r="P57" s="127"/>
      <c r="R57" s="205"/>
    </row>
    <row r="58" spans="2:19" ht="16.2" customHeight="1" x14ac:dyDescent="0.3">
      <c r="B58" s="126"/>
      <c r="C58" s="126"/>
      <c r="D58" s="194"/>
      <c r="E58" s="510"/>
      <c r="F58" s="510"/>
      <c r="G58" s="181"/>
      <c r="H58" s="130"/>
      <c r="I58" s="126"/>
      <c r="J58" s="126"/>
      <c r="K58" s="129" t="s">
        <v>295</v>
      </c>
      <c r="L58" s="201">
        <f>SUM(L39:L57)</f>
        <v>0</v>
      </c>
      <c r="M58" s="201">
        <f>SUM(M39:M57)</f>
        <v>0</v>
      </c>
      <c r="N58" s="201">
        <f>SUM(N39:N57)</f>
        <v>0</v>
      </c>
      <c r="O58" s="201">
        <f>SUM(O39:O57)</f>
        <v>0</v>
      </c>
      <c r="R58" s="205"/>
      <c r="S58" s="127"/>
    </row>
    <row r="59" spans="2:19" ht="37.950000000000003" customHeight="1" x14ac:dyDescent="0.25">
      <c r="B59" s="520" t="s">
        <v>296</v>
      </c>
      <c r="C59" s="520"/>
      <c r="D59" s="520"/>
      <c r="E59" s="520"/>
      <c r="F59" s="520"/>
      <c r="G59" s="520"/>
      <c r="H59" s="520"/>
      <c r="I59" s="520"/>
      <c r="J59" s="520"/>
      <c r="K59" s="520"/>
      <c r="L59" s="520"/>
      <c r="M59" s="520"/>
      <c r="N59" s="520"/>
      <c r="O59" s="520"/>
    </row>
    <row r="60" spans="2:19" x14ac:dyDescent="0.25">
      <c r="G60" s="514" t="s">
        <v>297</v>
      </c>
      <c r="H60" s="514"/>
      <c r="I60" s="514"/>
      <c r="J60" s="514"/>
      <c r="K60" s="515"/>
      <c r="L60" s="516"/>
      <c r="M60" s="517"/>
      <c r="O60" s="94"/>
    </row>
    <row r="61" spans="2:19" ht="15.6" x14ac:dyDescent="0.3">
      <c r="B61" s="456" t="s">
        <v>75</v>
      </c>
      <c r="C61" s="457"/>
      <c r="D61" s="453" t="s">
        <v>298</v>
      </c>
      <c r="E61" s="454"/>
      <c r="F61" s="454"/>
      <c r="G61" s="454"/>
      <c r="H61" s="454"/>
      <c r="I61" s="454"/>
      <c r="J61" s="455"/>
      <c r="L61" s="237"/>
      <c r="M61" s="279" t="s">
        <v>300</v>
      </c>
      <c r="N61" s="124"/>
      <c r="O61" s="94">
        <f>IF(N61&gt;=20,1,0)</f>
        <v>0</v>
      </c>
    </row>
    <row r="62" spans="2:19" ht="15.6" x14ac:dyDescent="0.3">
      <c r="B62" s="458"/>
      <c r="C62" s="459"/>
      <c r="D62" s="453" t="s">
        <v>299</v>
      </c>
      <c r="E62" s="454"/>
      <c r="F62" s="454"/>
      <c r="G62" s="454"/>
      <c r="H62" s="454"/>
      <c r="I62" s="454"/>
      <c r="J62" s="455"/>
      <c r="L62" s="191" t="str">
        <f>IF(L61="","",L61*450)</f>
        <v/>
      </c>
      <c r="M62" s="125" t="s">
        <v>112</v>
      </c>
      <c r="N62" s="124"/>
    </row>
    <row r="63" spans="2:19" ht="15.6" x14ac:dyDescent="0.3">
      <c r="B63" s="456" t="s">
        <v>73</v>
      </c>
      <c r="C63" s="457"/>
      <c r="D63" s="453" t="s">
        <v>298</v>
      </c>
      <c r="E63" s="454"/>
      <c r="F63" s="454"/>
      <c r="G63" s="454"/>
      <c r="H63" s="454"/>
      <c r="I63" s="454"/>
      <c r="J63" s="455"/>
      <c r="L63" s="180"/>
      <c r="M63" s="125" t="s">
        <v>300</v>
      </c>
      <c r="N63" s="124"/>
      <c r="O63" s="94">
        <f>IF(N63&gt;=20,1,0)</f>
        <v>0</v>
      </c>
    </row>
    <row r="64" spans="2:19" ht="15.6" x14ac:dyDescent="0.3">
      <c r="B64" s="458"/>
      <c r="C64" s="459"/>
      <c r="D64" s="453" t="s">
        <v>299</v>
      </c>
      <c r="E64" s="454"/>
      <c r="F64" s="454"/>
      <c r="G64" s="454"/>
      <c r="H64" s="454"/>
      <c r="I64" s="454"/>
      <c r="J64" s="455"/>
      <c r="L64" s="192">
        <f>IFERROR(PV_enerģija!N17,0)</f>
        <v>0</v>
      </c>
      <c r="M64" s="125" t="s">
        <v>112</v>
      </c>
      <c r="N64" s="124"/>
    </row>
    <row r="65" spans="2:15" ht="22.95" customHeight="1" x14ac:dyDescent="0.25">
      <c r="B65" s="519" t="str">
        <f>IFERROR(IF(PV_enerģija!N17/1000&lt;'1.lapa_Patēriņš'!O48,"","PV saražotais elektroenerģijas daudzums pārsniedz elektroenerģijas pašpatēriņu pirms projekta īstenošanas, sniegt skaidrojumu !!!"),"")</f>
        <v/>
      </c>
      <c r="C65" s="519"/>
      <c r="D65" s="519"/>
      <c r="E65" s="519"/>
      <c r="F65" s="519"/>
      <c r="G65" s="519"/>
      <c r="H65" s="519"/>
      <c r="I65" s="519"/>
      <c r="J65" s="519"/>
      <c r="K65" s="519"/>
      <c r="L65" s="519"/>
      <c r="M65" s="519"/>
      <c r="N65" s="519"/>
      <c r="O65" s="519"/>
    </row>
    <row r="66" spans="2:15" x14ac:dyDescent="0.25">
      <c r="B66" s="519"/>
      <c r="C66" s="519"/>
      <c r="D66" s="519"/>
      <c r="E66" s="519"/>
      <c r="F66" s="519"/>
      <c r="G66" s="519"/>
      <c r="H66" s="519"/>
      <c r="I66" s="519"/>
      <c r="J66" s="519"/>
      <c r="K66" s="519"/>
      <c r="L66" s="519"/>
      <c r="M66" s="519"/>
      <c r="N66" s="519"/>
      <c r="O66" s="519"/>
    </row>
    <row r="67" spans="2:15" x14ac:dyDescent="0.25">
      <c r="B67" s="519"/>
      <c r="C67" s="519"/>
      <c r="D67" s="519"/>
      <c r="E67" s="519"/>
      <c r="F67" s="519"/>
      <c r="G67" s="519"/>
      <c r="H67" s="519"/>
      <c r="I67" s="519"/>
      <c r="J67" s="519"/>
      <c r="K67" s="519"/>
      <c r="L67" s="519"/>
      <c r="M67" s="519"/>
      <c r="N67" s="519"/>
      <c r="O67" s="519"/>
    </row>
    <row r="72" spans="2:15" x14ac:dyDescent="0.25">
      <c r="M72" s="4"/>
    </row>
    <row r="94" spans="18:24" x14ac:dyDescent="0.25">
      <c r="R94" s="1" t="s">
        <v>46</v>
      </c>
      <c r="S94" s="1">
        <v>11.8</v>
      </c>
      <c r="T94" s="1" t="s">
        <v>47</v>
      </c>
      <c r="U94" s="1" t="s">
        <v>48</v>
      </c>
      <c r="V94" s="1">
        <v>1.1000000000000001</v>
      </c>
      <c r="W94" s="1">
        <v>0</v>
      </c>
      <c r="X94" s="1">
        <v>0.26700000000000002</v>
      </c>
    </row>
    <row r="95" spans="18:24" x14ac:dyDescent="0.25">
      <c r="R95" s="1" t="s">
        <v>49</v>
      </c>
      <c r="S95" s="1">
        <v>11.28</v>
      </c>
      <c r="T95" s="1" t="s">
        <v>47</v>
      </c>
      <c r="U95" s="1" t="s">
        <v>48</v>
      </c>
      <c r="V95" s="1">
        <v>1.1000000000000001</v>
      </c>
      <c r="W95" s="1">
        <v>0</v>
      </c>
      <c r="X95" s="1">
        <v>0.27900000000000003</v>
      </c>
    </row>
    <row r="96" spans="18:24" x14ac:dyDescent="0.25">
      <c r="R96" s="1" t="s">
        <v>50</v>
      </c>
      <c r="S96" s="1">
        <v>12.65</v>
      </c>
      <c r="T96" s="1" t="s">
        <v>47</v>
      </c>
      <c r="U96" s="1" t="s">
        <v>48</v>
      </c>
      <c r="V96" s="1">
        <v>1.1000000000000001</v>
      </c>
      <c r="W96" s="1">
        <v>0</v>
      </c>
      <c r="X96" s="1">
        <v>0.22700000000000001</v>
      </c>
    </row>
    <row r="97" spans="18:24" x14ac:dyDescent="0.25">
      <c r="R97" s="1" t="s">
        <v>51</v>
      </c>
      <c r="S97" s="1">
        <v>9.16</v>
      </c>
      <c r="T97" s="1" t="s">
        <v>47</v>
      </c>
      <c r="U97" s="1" t="s">
        <v>48</v>
      </c>
      <c r="V97" s="1">
        <v>1.1000000000000001</v>
      </c>
      <c r="W97" s="1">
        <v>0</v>
      </c>
      <c r="X97" s="1">
        <v>2.7099999999999999E-2</v>
      </c>
    </row>
    <row r="98" spans="18:24" x14ac:dyDescent="0.25">
      <c r="R98" s="1" t="s">
        <v>52</v>
      </c>
      <c r="S98" s="1">
        <v>6.7</v>
      </c>
      <c r="T98" s="1" t="s">
        <v>47</v>
      </c>
      <c r="U98" s="1" t="s">
        <v>48</v>
      </c>
      <c r="V98" s="1">
        <v>1.1000000000000001</v>
      </c>
      <c r="W98" s="1">
        <v>0</v>
      </c>
      <c r="X98" s="1">
        <v>0.35399999999999998</v>
      </c>
    </row>
    <row r="99" spans="18:24" x14ac:dyDescent="0.25">
      <c r="R99" s="1" t="s">
        <v>53</v>
      </c>
      <c r="S99" s="1">
        <v>2.79</v>
      </c>
      <c r="T99" s="1" t="s">
        <v>47</v>
      </c>
      <c r="U99" s="1" t="s">
        <v>48</v>
      </c>
      <c r="V99" s="1">
        <v>1.1000000000000001</v>
      </c>
      <c r="W99" s="1">
        <v>0</v>
      </c>
      <c r="X99" s="1">
        <v>0.29399999999999998</v>
      </c>
    </row>
    <row r="100" spans="18:24" x14ac:dyDescent="0.25">
      <c r="R100" s="1" t="s">
        <v>54</v>
      </c>
      <c r="S100" s="1">
        <v>9.5</v>
      </c>
      <c r="T100" s="1" t="s">
        <v>55</v>
      </c>
      <c r="U100" s="1" t="s">
        <v>56</v>
      </c>
      <c r="V100" s="1">
        <v>1.1000000000000001</v>
      </c>
      <c r="W100" s="1">
        <v>0</v>
      </c>
      <c r="X100" s="1">
        <v>0.20200000000000001</v>
      </c>
    </row>
    <row r="101" spans="18:24" x14ac:dyDescent="0.25">
      <c r="R101" s="1" t="s">
        <v>59</v>
      </c>
      <c r="S101" s="1">
        <v>2140</v>
      </c>
      <c r="T101" s="1" t="s">
        <v>60</v>
      </c>
      <c r="U101" s="1" t="s">
        <v>61</v>
      </c>
      <c r="V101" s="1">
        <v>0.2</v>
      </c>
      <c r="W101" s="1">
        <v>1</v>
      </c>
      <c r="X101" s="1">
        <v>0.04</v>
      </c>
    </row>
    <row r="102" spans="18:24" x14ac:dyDescent="0.25">
      <c r="R102" s="1" t="s">
        <v>62</v>
      </c>
      <c r="S102" s="1">
        <v>750</v>
      </c>
      <c r="T102" s="1" t="s">
        <v>63</v>
      </c>
      <c r="U102" s="1" t="s">
        <v>64</v>
      </c>
      <c r="V102" s="1">
        <v>0.2</v>
      </c>
      <c r="W102" s="1">
        <v>1</v>
      </c>
      <c r="X102" s="1">
        <v>0.04</v>
      </c>
    </row>
    <row r="103" spans="18:24" x14ac:dyDescent="0.25">
      <c r="R103" s="1" t="s">
        <v>65</v>
      </c>
      <c r="S103" s="1">
        <v>910</v>
      </c>
      <c r="T103" s="1" t="s">
        <v>63</v>
      </c>
      <c r="U103" s="1" t="s">
        <v>64</v>
      </c>
      <c r="V103" s="1">
        <v>0.2</v>
      </c>
      <c r="W103" s="1">
        <v>1</v>
      </c>
      <c r="X103" s="1">
        <v>0.04</v>
      </c>
    </row>
    <row r="104" spans="18:24" x14ac:dyDescent="0.25">
      <c r="R104" s="1" t="s">
        <v>66</v>
      </c>
      <c r="S104" s="1">
        <v>4.66</v>
      </c>
      <c r="T104" s="1" t="s">
        <v>47</v>
      </c>
      <c r="U104" s="1" t="s">
        <v>48</v>
      </c>
      <c r="V104" s="1">
        <v>0.2</v>
      </c>
      <c r="W104" s="1">
        <v>1</v>
      </c>
      <c r="X104" s="1">
        <v>0.04</v>
      </c>
    </row>
    <row r="105" spans="18:24" x14ac:dyDescent="0.25">
      <c r="R105" s="1" t="s">
        <v>67</v>
      </c>
      <c r="S105" s="1">
        <v>4.87</v>
      </c>
      <c r="T105" s="1" t="s">
        <v>47</v>
      </c>
      <c r="U105" s="1" t="s">
        <v>48</v>
      </c>
      <c r="V105" s="1">
        <v>0.2</v>
      </c>
      <c r="W105" s="1">
        <v>1</v>
      </c>
      <c r="X105" s="1">
        <v>0.04</v>
      </c>
    </row>
    <row r="107" spans="18:24" x14ac:dyDescent="0.25">
      <c r="R107" s="1" t="s">
        <v>68</v>
      </c>
      <c r="S107" s="1">
        <v>10.33</v>
      </c>
      <c r="T107" s="1" t="s">
        <v>47</v>
      </c>
      <c r="U107" s="1" t="s">
        <v>48</v>
      </c>
      <c r="V107" s="1">
        <v>0.5</v>
      </c>
      <c r="W107" s="1">
        <v>1</v>
      </c>
      <c r="X107" s="1">
        <v>7.0000000000000007E-2</v>
      </c>
    </row>
    <row r="108" spans="18:24" x14ac:dyDescent="0.25">
      <c r="R108" s="1" t="s">
        <v>69</v>
      </c>
      <c r="S108" s="1">
        <v>7.44</v>
      </c>
      <c r="T108" s="1" t="s">
        <v>47</v>
      </c>
      <c r="U108" s="1" t="s">
        <v>48</v>
      </c>
      <c r="V108" s="1">
        <v>0.1</v>
      </c>
      <c r="W108" s="1">
        <v>1</v>
      </c>
      <c r="X108" s="1">
        <v>0.1</v>
      </c>
    </row>
    <row r="109" spans="18:24" x14ac:dyDescent="0.25">
      <c r="R109" s="1" t="s">
        <v>70</v>
      </c>
      <c r="V109" s="1">
        <v>1.9</v>
      </c>
      <c r="W109" s="1">
        <v>0.6</v>
      </c>
      <c r="X109" s="1">
        <v>0.109</v>
      </c>
    </row>
    <row r="110" spans="18:24" x14ac:dyDescent="0.25">
      <c r="R110" s="1" t="s">
        <v>73</v>
      </c>
      <c r="V110" s="1">
        <v>0</v>
      </c>
      <c r="W110" s="1">
        <v>1</v>
      </c>
      <c r="X110" s="1">
        <v>0</v>
      </c>
    </row>
    <row r="111" spans="18:24" x14ac:dyDescent="0.25">
      <c r="R111" s="1" t="s">
        <v>75</v>
      </c>
      <c r="V111" s="1">
        <v>0</v>
      </c>
      <c r="W111" s="1">
        <v>1</v>
      </c>
      <c r="X111" s="1">
        <v>0</v>
      </c>
    </row>
    <row r="113" spans="18:24" x14ac:dyDescent="0.25">
      <c r="R113" s="1" t="s">
        <v>50</v>
      </c>
      <c r="S113" s="1">
        <v>12.65</v>
      </c>
      <c r="T113" s="1" t="s">
        <v>47</v>
      </c>
      <c r="U113" s="1" t="s">
        <v>48</v>
      </c>
      <c r="V113" s="1">
        <v>1.1000000000000001</v>
      </c>
      <c r="W113" s="1">
        <v>0</v>
      </c>
      <c r="X113" s="1">
        <v>0.22700000000000001</v>
      </c>
    </row>
    <row r="114" spans="18:24" x14ac:dyDescent="0.25">
      <c r="R114" s="1" t="s">
        <v>284</v>
      </c>
      <c r="V114" s="1">
        <v>0</v>
      </c>
      <c r="W114" s="1">
        <v>1</v>
      </c>
      <c r="X114" s="1">
        <v>0</v>
      </c>
    </row>
  </sheetData>
  <mergeCells count="59">
    <mergeCell ref="G60:J60"/>
    <mergeCell ref="K60:M60"/>
    <mergeCell ref="B31:F31"/>
    <mergeCell ref="B65:O67"/>
    <mergeCell ref="D64:J64"/>
    <mergeCell ref="B63:C64"/>
    <mergeCell ref="E58:F58"/>
    <mergeCell ref="B59:O59"/>
    <mergeCell ref="B39:B45"/>
    <mergeCell ref="C39:C45"/>
    <mergeCell ref="B46:B52"/>
    <mergeCell ref="C46:C52"/>
    <mergeCell ref="B35:B37"/>
    <mergeCell ref="C35:C36"/>
    <mergeCell ref="D35:D37"/>
    <mergeCell ref="B55:B56"/>
    <mergeCell ref="R13:S13"/>
    <mergeCell ref="L35:O35"/>
    <mergeCell ref="B29:B30"/>
    <mergeCell ref="C29:C30"/>
    <mergeCell ref="K35:K36"/>
    <mergeCell ref="B13:B19"/>
    <mergeCell ref="C13:C19"/>
    <mergeCell ref="B20:B26"/>
    <mergeCell ref="C20:C26"/>
    <mergeCell ref="E32:F32"/>
    <mergeCell ref="B34:O34"/>
    <mergeCell ref="C55:C56"/>
    <mergeCell ref="H35:H37"/>
    <mergeCell ref="B57:F57"/>
    <mergeCell ref="I35:I37"/>
    <mergeCell ref="E35:G35"/>
    <mergeCell ref="E9:G9"/>
    <mergeCell ref="K9:K10"/>
    <mergeCell ref="B1:O1"/>
    <mergeCell ref="B3:H3"/>
    <mergeCell ref="B4:H4"/>
    <mergeCell ref="I3:O3"/>
    <mergeCell ref="I4:O4"/>
    <mergeCell ref="L9:O9"/>
    <mergeCell ref="H9:H11"/>
    <mergeCell ref="J9:J11"/>
    <mergeCell ref="M5:O6"/>
    <mergeCell ref="D61:J61"/>
    <mergeCell ref="D62:J62"/>
    <mergeCell ref="D63:J63"/>
    <mergeCell ref="B61:C62"/>
    <mergeCell ref="K5:L5"/>
    <mergeCell ref="K6:L6"/>
    <mergeCell ref="J35:J37"/>
    <mergeCell ref="B5:H5"/>
    <mergeCell ref="I5:J5"/>
    <mergeCell ref="B6:H6"/>
    <mergeCell ref="I6:J6"/>
    <mergeCell ref="B8:O8"/>
    <mergeCell ref="B9:B11"/>
    <mergeCell ref="C9:C10"/>
    <mergeCell ref="D9:D11"/>
    <mergeCell ref="I9:I11"/>
  </mergeCells>
  <phoneticPr fontId="41" type="noConversion"/>
  <conditionalFormatting sqref="J5">
    <cfRule type="cellIs" dxfId="4" priority="16" operator="lessThan">
      <formula>0</formula>
    </cfRule>
  </conditionalFormatting>
  <conditionalFormatting sqref="J6">
    <cfRule type="cellIs" dxfId="3" priority="15" operator="lessThan">
      <formula>0</formula>
    </cfRule>
  </conditionalFormatting>
  <conditionalFormatting sqref="I5">
    <cfRule type="cellIs" dxfId="2" priority="12" operator="lessThan">
      <formula>0</formula>
    </cfRule>
  </conditionalFormatting>
  <conditionalFormatting sqref="I6">
    <cfRule type="cellIs" dxfId="1" priority="11" operator="lessThan">
      <formula>0</formula>
    </cfRule>
  </conditionalFormatting>
  <conditionalFormatting sqref="M5:O6">
    <cfRule type="containsText" dxfId="0" priority="1" operator="containsText" text="nenodrošina">
      <formula>NOT(ISERROR(SEARCH("nenodrošina",M5)))</formula>
    </cfRule>
  </conditionalFormatting>
  <dataValidations count="1">
    <dataValidation type="list" allowBlank="1" showInputMessage="1" showErrorMessage="1" sqref="D13:D15 D56 D20:D22 D39:D41 D46:D48 D30" xr:uid="{00000000-0002-0000-0400-000000000000}">
      <formula1>$R$17:$R$28</formula1>
    </dataValidation>
  </dataValidations>
  <printOptions horizontalCentered="1"/>
  <pageMargins left="0.31496062992125984" right="0.31496062992125984" top="0.55118110236220474" bottom="0.15748031496062992" header="0.31496062992125984" footer="0.31496062992125984"/>
  <pageSetup paperSize="9" scale="66" orientation="portrait" horizontalDpi="1200" verticalDpi="1200" r:id="rId1"/>
  <headerFooter>
    <oddFooter>&amp;R&amp;A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PV_enerģija!$A$26:$A$47</xm:f>
          </x14:formula1>
          <xm:sqref>K60:M60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F26"/>
  <sheetViews>
    <sheetView workbookViewId="0">
      <selection activeCell="C44" sqref="C44"/>
    </sheetView>
  </sheetViews>
  <sheetFormatPr defaultColWidth="8.88671875" defaultRowHeight="13.8" x14ac:dyDescent="0.25"/>
  <cols>
    <col min="1" max="1" width="6.5546875" style="105" bestFit="1" customWidth="1"/>
    <col min="2" max="2" width="39.88671875" style="105" customWidth="1"/>
    <col min="3" max="4" width="8.6640625" style="105" customWidth="1"/>
    <col min="5" max="5" width="17.5546875" style="105" customWidth="1"/>
    <col min="6" max="6" width="17.109375" style="105" customWidth="1"/>
    <col min="7" max="16384" width="8.88671875" style="105"/>
  </cols>
  <sheetData>
    <row r="2" spans="1:6" ht="51.6" customHeight="1" x14ac:dyDescent="0.25">
      <c r="A2" s="537" t="s">
        <v>301</v>
      </c>
      <c r="B2" s="537"/>
      <c r="C2" s="537"/>
      <c r="D2" s="537"/>
      <c r="E2" s="537"/>
      <c r="F2" s="537"/>
    </row>
    <row r="3" spans="1:6" ht="17.399999999999999" x14ac:dyDescent="0.25">
      <c r="A3" s="106"/>
      <c r="B3" s="106"/>
      <c r="C3" s="106"/>
      <c r="D3" s="106"/>
      <c r="E3" s="530" t="s">
        <v>7</v>
      </c>
      <c r="F3" s="530"/>
    </row>
    <row r="4" spans="1:6" x14ac:dyDescent="0.25">
      <c r="A4" s="541" t="s">
        <v>302</v>
      </c>
      <c r="B4" s="542"/>
      <c r="C4" s="542"/>
      <c r="D4" s="542"/>
      <c r="E4" s="542"/>
      <c r="F4" s="543"/>
    </row>
    <row r="5" spans="1:6" ht="16.2" x14ac:dyDescent="0.25">
      <c r="A5" s="107" t="s">
        <v>153</v>
      </c>
      <c r="B5" s="107" t="s">
        <v>303</v>
      </c>
      <c r="C5" s="107" t="s">
        <v>304</v>
      </c>
      <c r="D5" s="107" t="s">
        <v>305</v>
      </c>
      <c r="E5" s="107" t="s">
        <v>306</v>
      </c>
      <c r="F5" s="107" t="s">
        <v>307</v>
      </c>
    </row>
    <row r="6" spans="1:6" x14ac:dyDescent="0.25">
      <c r="A6" s="538" t="s">
        <v>308</v>
      </c>
      <c r="B6" s="534" t="s">
        <v>309</v>
      </c>
      <c r="C6" s="535"/>
      <c r="D6" s="535"/>
      <c r="E6" s="535"/>
      <c r="F6" s="536"/>
    </row>
    <row r="7" spans="1:6" x14ac:dyDescent="0.25">
      <c r="A7" s="539"/>
      <c r="B7" s="108" t="s">
        <v>310</v>
      </c>
      <c r="C7" s="109">
        <v>0.1</v>
      </c>
      <c r="D7" s="109">
        <v>0.6</v>
      </c>
      <c r="E7" s="110">
        <v>0.7</v>
      </c>
      <c r="F7" s="111"/>
    </row>
    <row r="8" spans="1:6" x14ac:dyDescent="0.25">
      <c r="A8" s="540"/>
      <c r="B8" s="112" t="s">
        <v>311</v>
      </c>
      <c r="C8" s="109">
        <v>0.7</v>
      </c>
      <c r="D8" s="113">
        <v>0</v>
      </c>
      <c r="E8" s="110">
        <v>0.7</v>
      </c>
      <c r="F8" s="111"/>
    </row>
    <row r="9" spans="1:6" x14ac:dyDescent="0.25">
      <c r="A9" s="538" t="s">
        <v>312</v>
      </c>
      <c r="B9" s="114" t="s">
        <v>313</v>
      </c>
      <c r="C9" s="114"/>
      <c r="D9" s="114"/>
      <c r="E9" s="114"/>
      <c r="F9" s="115"/>
    </row>
    <row r="10" spans="1:6" x14ac:dyDescent="0.25">
      <c r="A10" s="539"/>
      <c r="B10" s="108" t="s">
        <v>314</v>
      </c>
      <c r="C10" s="109">
        <v>0.2</v>
      </c>
      <c r="D10" s="109">
        <v>1.1000000000000001</v>
      </c>
      <c r="E10" s="110">
        <v>1.3</v>
      </c>
      <c r="F10" s="111" t="str">
        <f>'1.lapa_Patēriņš'!O15</f>
        <v/>
      </c>
    </row>
    <row r="11" spans="1:6" x14ac:dyDescent="0.25">
      <c r="A11" s="540"/>
      <c r="B11" s="112" t="s">
        <v>315</v>
      </c>
      <c r="C11" s="109">
        <v>1.3</v>
      </c>
      <c r="D11" s="109">
        <v>0</v>
      </c>
      <c r="E11" s="110">
        <v>1.3</v>
      </c>
      <c r="F11" s="111"/>
    </row>
    <row r="12" spans="1:6" x14ac:dyDescent="0.25">
      <c r="A12" s="523" t="s">
        <v>290</v>
      </c>
      <c r="B12" s="524"/>
      <c r="C12" s="524"/>
      <c r="D12" s="524"/>
      <c r="E12" s="525"/>
      <c r="F12" s="109">
        <f>SUM(F7:F11)</f>
        <v>0</v>
      </c>
    </row>
    <row r="13" spans="1:6" ht="34.200000000000003" customHeight="1" x14ac:dyDescent="0.25">
      <c r="A13" s="526" t="s">
        <v>316</v>
      </c>
      <c r="B13" s="527"/>
      <c r="C13" s="116">
        <f>ROUND(IF(F12=0,0,(C7*F7+C8*F8+C10*F10+C11*F11)/F12),4)</f>
        <v>0</v>
      </c>
      <c r="D13" s="116">
        <f>ROUND(IF(F12=0,0,(D7*F7+D8*F8+D10*F10+D11*F11)/F12),4)</f>
        <v>0</v>
      </c>
      <c r="E13" s="528">
        <f>ROUND(IF(F12=0,0,(E7*F7+E8*F8+E10*F10+E11*F11)/F12),4)</f>
        <v>0</v>
      </c>
      <c r="F13" s="529"/>
    </row>
    <row r="14" spans="1:6" ht="20.399999999999999" x14ac:dyDescent="0.25">
      <c r="A14" s="117"/>
      <c r="B14" s="117"/>
      <c r="C14" s="117"/>
      <c r="D14" s="117"/>
      <c r="E14" s="118"/>
      <c r="F14" s="118"/>
    </row>
    <row r="15" spans="1:6" ht="16.2" x14ac:dyDescent="0.35">
      <c r="A15" s="541" t="s">
        <v>317</v>
      </c>
      <c r="B15" s="542"/>
      <c r="C15" s="542"/>
      <c r="D15" s="542"/>
      <c r="E15" s="542"/>
      <c r="F15" s="543"/>
    </row>
    <row r="16" spans="1:6" ht="16.2" x14ac:dyDescent="0.25">
      <c r="A16" s="107" t="s">
        <v>153</v>
      </c>
      <c r="B16" s="550" t="s">
        <v>303</v>
      </c>
      <c r="C16" s="551"/>
      <c r="D16" s="552"/>
      <c r="E16" s="119" t="s">
        <v>318</v>
      </c>
      <c r="F16" s="107" t="s">
        <v>307</v>
      </c>
    </row>
    <row r="17" spans="1:6" x14ac:dyDescent="0.25">
      <c r="A17" s="538" t="s">
        <v>308</v>
      </c>
      <c r="B17" s="534" t="s">
        <v>309</v>
      </c>
      <c r="C17" s="535"/>
      <c r="D17" s="535"/>
      <c r="E17" s="535"/>
      <c r="F17" s="536"/>
    </row>
    <row r="18" spans="1:6" x14ac:dyDescent="0.25">
      <c r="A18" s="539"/>
      <c r="B18" s="544" t="s">
        <v>310</v>
      </c>
      <c r="C18" s="545"/>
      <c r="D18" s="546"/>
      <c r="E18" s="120">
        <v>2.5000000000000001E-2</v>
      </c>
      <c r="F18" s="109">
        <f>F7</f>
        <v>0</v>
      </c>
    </row>
    <row r="19" spans="1:6" x14ac:dyDescent="0.25">
      <c r="A19" s="540"/>
      <c r="B19" s="547" t="s">
        <v>311</v>
      </c>
      <c r="C19" s="548"/>
      <c r="D19" s="549"/>
      <c r="E19" s="120">
        <v>0.185</v>
      </c>
      <c r="F19" s="109">
        <f>F8</f>
        <v>0</v>
      </c>
    </row>
    <row r="20" spans="1:6" x14ac:dyDescent="0.25">
      <c r="A20" s="538" t="s">
        <v>312</v>
      </c>
      <c r="B20" s="534" t="s">
        <v>313</v>
      </c>
      <c r="C20" s="535"/>
      <c r="D20" s="535"/>
      <c r="E20" s="114"/>
      <c r="F20" s="115"/>
    </row>
    <row r="21" spans="1:6" x14ac:dyDescent="0.25">
      <c r="A21" s="539"/>
      <c r="B21" s="544" t="s">
        <v>314</v>
      </c>
      <c r="C21" s="545"/>
      <c r="D21" s="546"/>
      <c r="E21" s="120">
        <v>0.05</v>
      </c>
      <c r="F21" s="109" t="str">
        <f>F10</f>
        <v/>
      </c>
    </row>
    <row r="22" spans="1:6" x14ac:dyDescent="0.25">
      <c r="A22" s="540"/>
      <c r="B22" s="547" t="s">
        <v>315</v>
      </c>
      <c r="C22" s="548"/>
      <c r="D22" s="549"/>
      <c r="E22" s="120">
        <v>0.26400000000000001</v>
      </c>
      <c r="F22" s="109">
        <f>F11</f>
        <v>0</v>
      </c>
    </row>
    <row r="23" spans="1:6" x14ac:dyDescent="0.25">
      <c r="A23" s="523" t="s">
        <v>290</v>
      </c>
      <c r="B23" s="524"/>
      <c r="C23" s="524"/>
      <c r="D23" s="524"/>
      <c r="E23" s="525"/>
      <c r="F23" s="109">
        <f>SUM(F18:F22)</f>
        <v>0</v>
      </c>
    </row>
    <row r="24" spans="1:6" ht="60" customHeight="1" x14ac:dyDescent="0.25">
      <c r="A24" s="531" t="s">
        <v>319</v>
      </c>
      <c r="B24" s="532"/>
      <c r="C24" s="532"/>
      <c r="D24" s="533"/>
      <c r="E24" s="528">
        <f>ROUND(IF(F23=0,0,(E18*F18+E19*F19+E21*F21+E22*F22)/F23),4)</f>
        <v>0</v>
      </c>
      <c r="F24" s="529"/>
    </row>
    <row r="25" spans="1:6" ht="31.5" customHeight="1" x14ac:dyDescent="0.25">
      <c r="A25" s="522" t="s">
        <v>320</v>
      </c>
      <c r="B25" s="522"/>
      <c r="C25" s="522"/>
      <c r="D25" s="522"/>
      <c r="E25" s="522"/>
      <c r="F25" s="522"/>
    </row>
    <row r="26" spans="1:6" ht="34.200000000000003" customHeight="1" x14ac:dyDescent="0.25"/>
  </sheetData>
  <mergeCells count="23">
    <mergeCell ref="A2:F2"/>
    <mergeCell ref="A6:A8"/>
    <mergeCell ref="A9:A11"/>
    <mergeCell ref="A4:F4"/>
    <mergeCell ref="E24:F24"/>
    <mergeCell ref="B18:D18"/>
    <mergeCell ref="B19:D19"/>
    <mergeCell ref="B21:D21"/>
    <mergeCell ref="B22:D22"/>
    <mergeCell ref="B20:D20"/>
    <mergeCell ref="A15:F15"/>
    <mergeCell ref="A17:A19"/>
    <mergeCell ref="B17:F17"/>
    <mergeCell ref="A20:A22"/>
    <mergeCell ref="A23:E23"/>
    <mergeCell ref="B16:D16"/>
    <mergeCell ref="A25:F25"/>
    <mergeCell ref="A12:E12"/>
    <mergeCell ref="A13:B13"/>
    <mergeCell ref="E13:F13"/>
    <mergeCell ref="E3:F3"/>
    <mergeCell ref="A24:D24"/>
    <mergeCell ref="B6:F6"/>
  </mergeCells>
  <printOptions horizontalCentered="1"/>
  <pageMargins left="0.11811023622047245" right="0.11811023622047245" top="0.74803149606299213" bottom="0.74803149606299213" header="0.31496062992125984" footer="0.31496062992125984"/>
  <pageSetup paperSize="9" orientation="portrait" horizontalDpi="1200" verticalDpi="1200"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2"/>
  <sheetViews>
    <sheetView workbookViewId="0">
      <selection activeCell="A6" sqref="A6:XFD7"/>
    </sheetView>
  </sheetViews>
  <sheetFormatPr defaultRowHeight="14.4" x14ac:dyDescent="0.3"/>
  <cols>
    <col min="1" max="1" width="33" customWidth="1"/>
    <col min="14" max="14" width="9.5546875" bestFit="1" customWidth="1"/>
  </cols>
  <sheetData>
    <row r="2" spans="1:16" x14ac:dyDescent="0.3">
      <c r="A2" s="140"/>
      <c r="B2" s="553" t="s">
        <v>321</v>
      </c>
      <c r="C2" s="553"/>
      <c r="D2" s="553"/>
      <c r="E2" s="553"/>
      <c r="F2" s="554">
        <f>'5.lapa_Energoefektivitate'!K60</f>
        <v>0</v>
      </c>
      <c r="G2" s="555"/>
      <c r="H2" s="556"/>
      <c r="I2" s="141"/>
      <c r="J2" s="141"/>
      <c r="K2" s="141"/>
      <c r="L2" s="141"/>
      <c r="M2" s="141"/>
      <c r="N2" s="141"/>
    </row>
    <row r="3" spans="1:16" x14ac:dyDescent="0.3">
      <c r="A3" s="141"/>
      <c r="B3" s="141"/>
      <c r="C3" s="141"/>
      <c r="D3" s="141"/>
      <c r="E3" s="141"/>
      <c r="F3" s="141"/>
      <c r="G3" s="141"/>
      <c r="H3" s="141"/>
      <c r="I3" s="141"/>
      <c r="J3" s="141"/>
      <c r="K3" s="141"/>
      <c r="L3" s="141"/>
      <c r="M3" s="141"/>
      <c r="N3" s="141"/>
    </row>
    <row r="4" spans="1:16" ht="27.6" x14ac:dyDescent="0.3">
      <c r="A4" s="152" t="s">
        <v>322</v>
      </c>
      <c r="B4" s="153" t="s">
        <v>11</v>
      </c>
      <c r="C4" s="153" t="s">
        <v>12</v>
      </c>
      <c r="D4" s="153" t="s">
        <v>13</v>
      </c>
      <c r="E4" s="153" t="s">
        <v>14</v>
      </c>
      <c r="F4" s="153" t="s">
        <v>15</v>
      </c>
      <c r="G4" s="153" t="s">
        <v>16</v>
      </c>
      <c r="H4" s="153" t="s">
        <v>17</v>
      </c>
      <c r="I4" s="153" t="s">
        <v>18</v>
      </c>
      <c r="J4" s="153" t="s">
        <v>19</v>
      </c>
      <c r="K4" s="153" t="s">
        <v>20</v>
      </c>
      <c r="L4" s="153" t="s">
        <v>21</v>
      </c>
      <c r="M4" s="153" t="s">
        <v>22</v>
      </c>
      <c r="N4" s="154" t="s">
        <v>323</v>
      </c>
    </row>
    <row r="5" spans="1:16" ht="16.2" x14ac:dyDescent="0.3">
      <c r="A5" s="152" t="s">
        <v>324</v>
      </c>
      <c r="B5" s="155" t="e">
        <f>VLOOKUP($F$2,$A$26:$M$47,2,FALSE)</f>
        <v>#N/A</v>
      </c>
      <c r="C5" s="155" t="e">
        <f>VLOOKUP($F$2,$A$26:$M$47,3,FALSE)</f>
        <v>#N/A</v>
      </c>
      <c r="D5" s="155" t="e">
        <f>VLOOKUP($F$2,$A$26:$M$47,4,FALSE)</f>
        <v>#N/A</v>
      </c>
      <c r="E5" s="155" t="e">
        <f>VLOOKUP($F$2,$A$26:$M$47,5,FALSE)</f>
        <v>#N/A</v>
      </c>
      <c r="F5" s="155" t="e">
        <f>VLOOKUP($F$2,$A$26:$M$47,6,FALSE)</f>
        <v>#N/A</v>
      </c>
      <c r="G5" s="155" t="e">
        <f>VLOOKUP($F$2,$A$26:$M$47,7,FALSE)</f>
        <v>#N/A</v>
      </c>
      <c r="H5" s="155" t="e">
        <f>VLOOKUP($F$2,$A$26:$M$47,8,FALSE)</f>
        <v>#N/A</v>
      </c>
      <c r="I5" s="155" t="e">
        <f>VLOOKUP($F$2,$A$26:$M$47,9,FALSE)</f>
        <v>#N/A</v>
      </c>
      <c r="J5" s="155" t="e">
        <f>VLOOKUP($F$2,$A$26:$M$47,10,FALSE)</f>
        <v>#N/A</v>
      </c>
      <c r="K5" s="155" t="e">
        <f>VLOOKUP($F$2,$A$26:$M$47,11,FALSE)</f>
        <v>#N/A</v>
      </c>
      <c r="L5" s="155" t="e">
        <f>VLOOKUP($F$2,$A$26:$M$47,12,FALSE)</f>
        <v>#N/A</v>
      </c>
      <c r="M5" s="155" t="e">
        <f>VLOOKUP($F$2,$A$26:$M$47,13,FALSE)</f>
        <v>#N/A</v>
      </c>
      <c r="N5" s="156" t="e">
        <f>SUM(B5:M5)</f>
        <v>#N/A</v>
      </c>
    </row>
    <row r="6" spans="1:16" ht="16.2" hidden="1" x14ac:dyDescent="0.3">
      <c r="A6" s="142" t="s">
        <v>325</v>
      </c>
      <c r="B6" s="143"/>
      <c r="C6" s="144"/>
      <c r="D6" s="144"/>
      <c r="E6" s="144"/>
      <c r="F6" s="144"/>
      <c r="G6" s="144"/>
      <c r="H6" s="144"/>
      <c r="I6" s="144"/>
      <c r="J6" s="144"/>
      <c r="K6" s="144"/>
      <c r="L6" s="144"/>
      <c r="M6" s="144"/>
      <c r="N6" s="145" t="e">
        <f>SUMPRODUCT($T$59:$AE$59,B6:M6)/$AF$59</f>
        <v>#DIV/0!</v>
      </c>
    </row>
    <row r="7" spans="1:16" ht="15" hidden="1" thickBot="1" x14ac:dyDescent="0.35">
      <c r="A7" s="146" t="s">
        <v>326</v>
      </c>
      <c r="B7" s="147"/>
      <c r="C7" s="148"/>
      <c r="D7" s="148"/>
      <c r="E7" s="148"/>
      <c r="F7" s="148"/>
      <c r="G7" s="148"/>
      <c r="H7" s="148"/>
      <c r="I7" s="148"/>
      <c r="J7" s="148"/>
      <c r="K7" s="148"/>
      <c r="L7" s="148"/>
      <c r="M7" s="148"/>
      <c r="N7" s="149" t="e">
        <f>SUMPRODUCT($T$59:$AE$59,B7:M7)/$AF$59</f>
        <v>#DIV/0!</v>
      </c>
    </row>
    <row r="8" spans="1:16" x14ac:dyDescent="0.3">
      <c r="A8" s="150"/>
      <c r="B8" s="132"/>
      <c r="C8" s="132"/>
      <c r="D8" s="132"/>
      <c r="E8" s="132"/>
      <c r="F8" s="132"/>
      <c r="G8" s="132"/>
      <c r="H8" s="132"/>
      <c r="I8" s="132"/>
      <c r="J8" s="132"/>
      <c r="K8" s="132"/>
      <c r="L8" s="132"/>
      <c r="M8" s="132"/>
      <c r="N8" s="132"/>
    </row>
    <row r="9" spans="1:16" ht="15" thickBot="1" x14ac:dyDescent="0.35">
      <c r="A9" s="132"/>
      <c r="B9" s="557" t="s">
        <v>327</v>
      </c>
      <c r="C9" s="557"/>
      <c r="D9" s="557"/>
      <c r="E9" s="557"/>
      <c r="F9" s="557"/>
      <c r="G9" s="557"/>
      <c r="H9" s="557"/>
      <c r="I9" s="557"/>
      <c r="J9" s="557"/>
      <c r="K9" s="557"/>
      <c r="L9" s="557"/>
      <c r="M9" s="557"/>
      <c r="N9" s="557"/>
    </row>
    <row r="10" spans="1:16" ht="15" thickTop="1" x14ac:dyDescent="0.3">
      <c r="A10" s="133" t="s">
        <v>322</v>
      </c>
      <c r="B10" s="183" t="str">
        <f t="shared" ref="B10:M10" si="0">B4</f>
        <v>janv</v>
      </c>
      <c r="C10" s="183" t="str">
        <f t="shared" si="0"/>
        <v>febr</v>
      </c>
      <c r="D10" s="183" t="str">
        <f t="shared" si="0"/>
        <v>marts</v>
      </c>
      <c r="E10" s="183" t="str">
        <f t="shared" si="0"/>
        <v>apr</v>
      </c>
      <c r="F10" s="183" t="str">
        <f t="shared" si="0"/>
        <v>maijs</v>
      </c>
      <c r="G10" s="183" t="str">
        <f t="shared" si="0"/>
        <v>jūn</v>
      </c>
      <c r="H10" s="183" t="str">
        <f t="shared" si="0"/>
        <v>jūl</v>
      </c>
      <c r="I10" s="183" t="str">
        <f t="shared" si="0"/>
        <v>aug</v>
      </c>
      <c r="J10" s="183" t="str">
        <f t="shared" si="0"/>
        <v>sept</v>
      </c>
      <c r="K10" s="183" t="str">
        <f t="shared" si="0"/>
        <v>okt</v>
      </c>
      <c r="L10" s="183" t="str">
        <f t="shared" si="0"/>
        <v>nov</v>
      </c>
      <c r="M10" s="183" t="str">
        <f t="shared" si="0"/>
        <v>dec</v>
      </c>
      <c r="N10" s="183" t="s">
        <v>218</v>
      </c>
    </row>
    <row r="11" spans="1:16" x14ac:dyDescent="0.3">
      <c r="A11" s="182" t="s">
        <v>328</v>
      </c>
      <c r="B11" s="186" t="str">
        <f>IFERROR($N$11*B50,"")</f>
        <v/>
      </c>
      <c r="C11" s="187" t="str">
        <f t="shared" ref="C11:M11" si="1">IFERROR($N$11*C50,"")</f>
        <v/>
      </c>
      <c r="D11" s="187" t="str">
        <f t="shared" si="1"/>
        <v/>
      </c>
      <c r="E11" s="187" t="str">
        <f t="shared" si="1"/>
        <v/>
      </c>
      <c r="F11" s="187" t="str">
        <f t="shared" si="1"/>
        <v/>
      </c>
      <c r="G11" s="187" t="str">
        <f t="shared" si="1"/>
        <v/>
      </c>
      <c r="H11" s="187" t="str">
        <f t="shared" si="1"/>
        <v/>
      </c>
      <c r="I11" s="187" t="str">
        <f t="shared" si="1"/>
        <v/>
      </c>
      <c r="J11" s="187" t="str">
        <f t="shared" si="1"/>
        <v/>
      </c>
      <c r="K11" s="187" t="str">
        <f t="shared" si="1"/>
        <v/>
      </c>
      <c r="L11" s="187" t="str">
        <f t="shared" si="1"/>
        <v/>
      </c>
      <c r="M11" s="187" t="str">
        <f t="shared" si="1"/>
        <v/>
      </c>
      <c r="N11" s="203">
        <f>'5.lapa_Energoefektivitate'!G44</f>
        <v>0</v>
      </c>
      <c r="P11" s="151">
        <f t="shared" ref="P11:P13" si="2">SUM(B11:M11)</f>
        <v>0</v>
      </c>
    </row>
    <row r="12" spans="1:16" x14ac:dyDescent="0.3">
      <c r="A12" s="182" t="s">
        <v>329</v>
      </c>
      <c r="B12" s="188">
        <f>IFERROR($N$12/12,"")</f>
        <v>0</v>
      </c>
      <c r="C12" s="185">
        <f t="shared" ref="C12:M12" si="3">IFERROR($N$12/12,"")</f>
        <v>0</v>
      </c>
      <c r="D12" s="185">
        <f t="shared" si="3"/>
        <v>0</v>
      </c>
      <c r="E12" s="185">
        <f t="shared" si="3"/>
        <v>0</v>
      </c>
      <c r="F12" s="185">
        <f t="shared" si="3"/>
        <v>0</v>
      </c>
      <c r="G12" s="185">
        <f t="shared" si="3"/>
        <v>0</v>
      </c>
      <c r="H12" s="185">
        <f t="shared" si="3"/>
        <v>0</v>
      </c>
      <c r="I12" s="185">
        <f t="shared" si="3"/>
        <v>0</v>
      </c>
      <c r="J12" s="185">
        <f t="shared" si="3"/>
        <v>0</v>
      </c>
      <c r="K12" s="185">
        <f t="shared" si="3"/>
        <v>0</v>
      </c>
      <c r="L12" s="185">
        <f t="shared" si="3"/>
        <v>0</v>
      </c>
      <c r="M12" s="185">
        <f t="shared" si="3"/>
        <v>0</v>
      </c>
      <c r="N12" s="204">
        <f>('5.lapa_Energoefektivitate'!E51+'5.lapa_Energoefektivitate'!F51)</f>
        <v>0</v>
      </c>
      <c r="P12" s="151">
        <f t="shared" si="2"/>
        <v>0</v>
      </c>
    </row>
    <row r="13" spans="1:16" x14ac:dyDescent="0.3">
      <c r="A13" s="182" t="s">
        <v>330</v>
      </c>
      <c r="B13" s="188">
        <f>IFERROR($N$13/12,"")</f>
        <v>0</v>
      </c>
      <c r="C13" s="185">
        <f t="shared" ref="C13:M13" si="4">IFERROR($N$13/12,"")</f>
        <v>0</v>
      </c>
      <c r="D13" s="185">
        <f t="shared" si="4"/>
        <v>0</v>
      </c>
      <c r="E13" s="185">
        <f t="shared" si="4"/>
        <v>0</v>
      </c>
      <c r="F13" s="185">
        <f t="shared" si="4"/>
        <v>0</v>
      </c>
      <c r="G13" s="185">
        <f t="shared" si="4"/>
        <v>0</v>
      </c>
      <c r="H13" s="185">
        <f t="shared" si="4"/>
        <v>0</v>
      </c>
      <c r="I13" s="185">
        <f t="shared" si="4"/>
        <v>0</v>
      </c>
      <c r="J13" s="185">
        <f t="shared" si="4"/>
        <v>0</v>
      </c>
      <c r="K13" s="185">
        <f t="shared" si="4"/>
        <v>0</v>
      </c>
      <c r="L13" s="185">
        <f t="shared" si="4"/>
        <v>0</v>
      </c>
      <c r="M13" s="185">
        <f t="shared" si="4"/>
        <v>0</v>
      </c>
      <c r="N13" s="204">
        <f>('5.lapa_Energoefektivitate'!E53+'5.lapa_Energoefektivitate'!F53)</f>
        <v>0</v>
      </c>
      <c r="P13" s="151">
        <f t="shared" si="2"/>
        <v>0</v>
      </c>
    </row>
    <row r="14" spans="1:16" x14ac:dyDescent="0.3">
      <c r="A14" s="182" t="s">
        <v>331</v>
      </c>
      <c r="B14" s="188">
        <f>IFERROR($N$14/12,"")</f>
        <v>0</v>
      </c>
      <c r="C14" s="185">
        <f>B14</f>
        <v>0</v>
      </c>
      <c r="D14" s="185">
        <f t="shared" ref="D14:M14" si="5">C14</f>
        <v>0</v>
      </c>
      <c r="E14" s="185">
        <f t="shared" si="5"/>
        <v>0</v>
      </c>
      <c r="F14" s="185">
        <f t="shared" si="5"/>
        <v>0</v>
      </c>
      <c r="G14" s="185">
        <f t="shared" si="5"/>
        <v>0</v>
      </c>
      <c r="H14" s="185">
        <f t="shared" si="5"/>
        <v>0</v>
      </c>
      <c r="I14" s="185">
        <f t="shared" si="5"/>
        <v>0</v>
      </c>
      <c r="J14" s="185">
        <f t="shared" si="5"/>
        <v>0</v>
      </c>
      <c r="K14" s="185">
        <f t="shared" si="5"/>
        <v>0</v>
      </c>
      <c r="L14" s="185">
        <f t="shared" si="5"/>
        <v>0</v>
      </c>
      <c r="M14" s="185">
        <f t="shared" si="5"/>
        <v>0</v>
      </c>
      <c r="N14" s="204">
        <f>'5.lapa_Energoefektivitate'!E54</f>
        <v>0</v>
      </c>
      <c r="P14" s="151">
        <f>SUM(B14:M14)</f>
        <v>0</v>
      </c>
    </row>
    <row r="15" spans="1:16" x14ac:dyDescent="0.3">
      <c r="A15" s="182" t="s">
        <v>332</v>
      </c>
      <c r="B15" s="189">
        <f>IF($N$15=0,0,$N$15*B52)</f>
        <v>0</v>
      </c>
      <c r="C15" s="190">
        <f t="shared" ref="C15:M15" si="6">IF($N$15=0,0,$N$15*C52)</f>
        <v>0</v>
      </c>
      <c r="D15" s="190">
        <f t="shared" si="6"/>
        <v>0</v>
      </c>
      <c r="E15" s="190">
        <f t="shared" si="6"/>
        <v>0</v>
      </c>
      <c r="F15" s="190">
        <f t="shared" si="6"/>
        <v>0</v>
      </c>
      <c r="G15" s="190">
        <f t="shared" si="6"/>
        <v>0</v>
      </c>
      <c r="H15" s="190">
        <f t="shared" si="6"/>
        <v>0</v>
      </c>
      <c r="I15" s="190">
        <f t="shared" si="6"/>
        <v>0</v>
      </c>
      <c r="J15" s="190">
        <f t="shared" si="6"/>
        <v>0</v>
      </c>
      <c r="K15" s="190">
        <f t="shared" si="6"/>
        <v>0</v>
      </c>
      <c r="L15" s="190">
        <f t="shared" si="6"/>
        <v>0</v>
      </c>
      <c r="M15" s="190">
        <f t="shared" si="6"/>
        <v>0</v>
      </c>
      <c r="N15" s="184">
        <f>('5.lapa_Energoefektivitate'!E55+'5.lapa_Energoefektivitate'!F55)</f>
        <v>0</v>
      </c>
      <c r="P15" s="151">
        <f>SUM(B15:M15)</f>
        <v>0</v>
      </c>
    </row>
    <row r="16" spans="1:16" x14ac:dyDescent="0.3">
      <c r="A16" s="134" t="s">
        <v>333</v>
      </c>
      <c r="B16" s="207">
        <f>SUM(B11:B15)</f>
        <v>0</v>
      </c>
      <c r="C16" s="207">
        <f t="shared" ref="C16:M16" si="7">SUM(C11:C15)</f>
        <v>0</v>
      </c>
      <c r="D16" s="207">
        <f t="shared" si="7"/>
        <v>0</v>
      </c>
      <c r="E16" s="207">
        <f t="shared" si="7"/>
        <v>0</v>
      </c>
      <c r="F16" s="207">
        <f t="shared" si="7"/>
        <v>0</v>
      </c>
      <c r="G16" s="207">
        <f t="shared" si="7"/>
        <v>0</v>
      </c>
      <c r="H16" s="207">
        <f t="shared" si="7"/>
        <v>0</v>
      </c>
      <c r="I16" s="207">
        <f t="shared" si="7"/>
        <v>0</v>
      </c>
      <c r="J16" s="207">
        <f t="shared" si="7"/>
        <v>0</v>
      </c>
      <c r="K16" s="207">
        <f t="shared" si="7"/>
        <v>0</v>
      </c>
      <c r="L16" s="207">
        <f t="shared" si="7"/>
        <v>0</v>
      </c>
      <c r="M16" s="207">
        <f t="shared" si="7"/>
        <v>0</v>
      </c>
      <c r="N16" s="208">
        <f t="shared" ref="N16:N20" si="8">SUM(B16:M16)</f>
        <v>0</v>
      </c>
    </row>
    <row r="17" spans="1:14" x14ac:dyDescent="0.3">
      <c r="A17" s="134" t="s">
        <v>334</v>
      </c>
      <c r="B17" s="135" t="e">
        <f>B5*'5.lapa_Energoefektivitate'!$L$63</f>
        <v>#N/A</v>
      </c>
      <c r="C17" s="135" t="e">
        <f>C5*'5.lapa_Energoefektivitate'!$L$63</f>
        <v>#N/A</v>
      </c>
      <c r="D17" s="135" t="e">
        <f>D5*'5.lapa_Energoefektivitate'!$L$63</f>
        <v>#N/A</v>
      </c>
      <c r="E17" s="135" t="e">
        <f>E5*'5.lapa_Energoefektivitate'!$L$63</f>
        <v>#N/A</v>
      </c>
      <c r="F17" s="135" t="e">
        <f>F5*'5.lapa_Energoefektivitate'!$L$63</f>
        <v>#N/A</v>
      </c>
      <c r="G17" s="135" t="e">
        <f>G5*'5.lapa_Energoefektivitate'!$L$63</f>
        <v>#N/A</v>
      </c>
      <c r="H17" s="135" t="e">
        <f>H5*'5.lapa_Energoefektivitate'!$L$63</f>
        <v>#N/A</v>
      </c>
      <c r="I17" s="135" t="e">
        <f>I5*'5.lapa_Energoefektivitate'!$L$63</f>
        <v>#N/A</v>
      </c>
      <c r="J17" s="135" t="e">
        <f>J5*'5.lapa_Energoefektivitate'!$L$63</f>
        <v>#N/A</v>
      </c>
      <c r="K17" s="135" t="e">
        <f>K5*'5.lapa_Energoefektivitate'!$L$63</f>
        <v>#N/A</v>
      </c>
      <c r="L17" s="135" t="e">
        <f>L5*'5.lapa_Energoefektivitate'!$L$63</f>
        <v>#N/A</v>
      </c>
      <c r="M17" s="135" t="e">
        <f>M5*'5.lapa_Energoefektivitate'!$L$63</f>
        <v>#N/A</v>
      </c>
      <c r="N17" s="136" t="e">
        <f t="shared" si="8"/>
        <v>#N/A</v>
      </c>
    </row>
    <row r="18" spans="1:14" x14ac:dyDescent="0.3">
      <c r="A18" s="209" t="s">
        <v>335</v>
      </c>
      <c r="B18" s="135" t="e">
        <f>IF(B17&gt;B16,B16,B17)</f>
        <v>#N/A</v>
      </c>
      <c r="C18" s="135" t="e">
        <f t="shared" ref="C18:M18" si="9">IF(C17&gt;C16,C16,C17)</f>
        <v>#N/A</v>
      </c>
      <c r="D18" s="135" t="e">
        <f t="shared" si="9"/>
        <v>#N/A</v>
      </c>
      <c r="E18" s="135" t="e">
        <f t="shared" si="9"/>
        <v>#N/A</v>
      </c>
      <c r="F18" s="135" t="e">
        <f t="shared" si="9"/>
        <v>#N/A</v>
      </c>
      <c r="G18" s="135" t="e">
        <f t="shared" si="9"/>
        <v>#N/A</v>
      </c>
      <c r="H18" s="135" t="e">
        <f t="shared" si="9"/>
        <v>#N/A</v>
      </c>
      <c r="I18" s="135" t="e">
        <f t="shared" si="9"/>
        <v>#N/A</v>
      </c>
      <c r="J18" s="135" t="e">
        <f t="shared" si="9"/>
        <v>#N/A</v>
      </c>
      <c r="K18" s="135" t="e">
        <f t="shared" si="9"/>
        <v>#N/A</v>
      </c>
      <c r="L18" s="135" t="e">
        <f t="shared" si="9"/>
        <v>#N/A</v>
      </c>
      <c r="M18" s="135" t="e">
        <f t="shared" si="9"/>
        <v>#N/A</v>
      </c>
      <c r="N18" s="210" t="e">
        <f t="shared" si="8"/>
        <v>#N/A</v>
      </c>
    </row>
    <row r="19" spans="1:14" x14ac:dyDescent="0.3">
      <c r="A19" s="134" t="s">
        <v>336</v>
      </c>
      <c r="B19" s="135" t="e">
        <f>B17-B18</f>
        <v>#N/A</v>
      </c>
      <c r="C19" s="135" t="e">
        <f t="shared" ref="C19:M19" si="10">C17-C18</f>
        <v>#N/A</v>
      </c>
      <c r="D19" s="135" t="e">
        <f t="shared" si="10"/>
        <v>#N/A</v>
      </c>
      <c r="E19" s="135" t="e">
        <f t="shared" si="10"/>
        <v>#N/A</v>
      </c>
      <c r="F19" s="135" t="e">
        <f t="shared" si="10"/>
        <v>#N/A</v>
      </c>
      <c r="G19" s="135" t="e">
        <f t="shared" si="10"/>
        <v>#N/A</v>
      </c>
      <c r="H19" s="135" t="e">
        <f t="shared" si="10"/>
        <v>#N/A</v>
      </c>
      <c r="I19" s="135" t="e">
        <f t="shared" si="10"/>
        <v>#N/A</v>
      </c>
      <c r="J19" s="135" t="e">
        <f t="shared" si="10"/>
        <v>#N/A</v>
      </c>
      <c r="K19" s="135" t="e">
        <f t="shared" si="10"/>
        <v>#N/A</v>
      </c>
      <c r="L19" s="135" t="e">
        <f t="shared" si="10"/>
        <v>#N/A</v>
      </c>
      <c r="M19" s="135" t="e">
        <f t="shared" si="10"/>
        <v>#N/A</v>
      </c>
      <c r="N19" s="136" t="e">
        <f t="shared" si="8"/>
        <v>#N/A</v>
      </c>
    </row>
    <row r="20" spans="1:14" ht="15" thickBot="1" x14ac:dyDescent="0.35">
      <c r="A20" s="137" t="s">
        <v>337</v>
      </c>
      <c r="B20" s="138" t="e">
        <f>IF(B17&lt;B16,B16-B17,0)</f>
        <v>#N/A</v>
      </c>
      <c r="C20" s="138" t="e">
        <f t="shared" ref="C20:M20" si="11">IF(C17&lt;C16,C16-C17,0)</f>
        <v>#N/A</v>
      </c>
      <c r="D20" s="138" t="e">
        <f t="shared" si="11"/>
        <v>#N/A</v>
      </c>
      <c r="E20" s="138" t="e">
        <f t="shared" si="11"/>
        <v>#N/A</v>
      </c>
      <c r="F20" s="138" t="e">
        <f t="shared" si="11"/>
        <v>#N/A</v>
      </c>
      <c r="G20" s="138" t="e">
        <f t="shared" si="11"/>
        <v>#N/A</v>
      </c>
      <c r="H20" s="138" t="e">
        <f t="shared" si="11"/>
        <v>#N/A</v>
      </c>
      <c r="I20" s="138" t="e">
        <f t="shared" si="11"/>
        <v>#N/A</v>
      </c>
      <c r="J20" s="138" t="e">
        <f t="shared" si="11"/>
        <v>#N/A</v>
      </c>
      <c r="K20" s="138" t="e">
        <f t="shared" si="11"/>
        <v>#N/A</v>
      </c>
      <c r="L20" s="138" t="e">
        <f t="shared" si="11"/>
        <v>#N/A</v>
      </c>
      <c r="M20" s="138" t="e">
        <f t="shared" si="11"/>
        <v>#N/A</v>
      </c>
      <c r="N20" s="139" t="e">
        <f t="shared" si="8"/>
        <v>#N/A</v>
      </c>
    </row>
    <row r="21" spans="1:14" ht="15" thickTop="1" x14ac:dyDescent="0.3"/>
    <row r="25" spans="1:14" ht="80.400000000000006" customHeight="1" x14ac:dyDescent="0.3"/>
    <row r="26" spans="1:14" x14ac:dyDescent="0.3">
      <c r="A26" t="s">
        <v>338</v>
      </c>
      <c r="B26">
        <v>9.61</v>
      </c>
      <c r="C26">
        <v>23.8</v>
      </c>
      <c r="D26">
        <v>64.17</v>
      </c>
      <c r="E26">
        <v>112.5</v>
      </c>
      <c r="F26">
        <v>168.32999999999998</v>
      </c>
      <c r="G26">
        <v>173.7</v>
      </c>
      <c r="H26">
        <v>175.15</v>
      </c>
      <c r="I26">
        <v>137.32999999999998</v>
      </c>
      <c r="J26">
        <v>81.600000000000009</v>
      </c>
      <c r="K26">
        <v>37.199999999999996</v>
      </c>
      <c r="L26">
        <v>11.700000000000001</v>
      </c>
      <c r="M26">
        <v>5.89</v>
      </c>
      <c r="N26" s="151">
        <f>SUM(B26:M26)</f>
        <v>1000.98</v>
      </c>
    </row>
    <row r="27" spans="1:14" x14ac:dyDescent="0.3">
      <c r="A27" t="s">
        <v>339</v>
      </c>
      <c r="B27">
        <v>9.92</v>
      </c>
      <c r="C27">
        <v>24.64</v>
      </c>
      <c r="D27">
        <v>62.309999999999995</v>
      </c>
      <c r="E27">
        <v>104.7</v>
      </c>
      <c r="F27">
        <v>151.9</v>
      </c>
      <c r="G27">
        <v>158.4</v>
      </c>
      <c r="H27">
        <v>161.51</v>
      </c>
      <c r="I27">
        <v>127.72</v>
      </c>
      <c r="J27">
        <v>75.3</v>
      </c>
      <c r="K27">
        <v>34.720000000000006</v>
      </c>
      <c r="L27">
        <v>12</v>
      </c>
      <c r="M27">
        <v>5.89</v>
      </c>
      <c r="N27" s="151">
        <f t="shared" ref="N27:N47" si="12">SUM(B27:M27)</f>
        <v>929.01</v>
      </c>
    </row>
    <row r="28" spans="1:14" x14ac:dyDescent="0.3">
      <c r="A28" t="s">
        <v>340</v>
      </c>
      <c r="B28">
        <v>10.85</v>
      </c>
      <c r="C28">
        <v>24.36</v>
      </c>
      <c r="D28">
        <v>62</v>
      </c>
      <c r="E28">
        <v>110.7</v>
      </c>
      <c r="F28">
        <v>160.57999999999998</v>
      </c>
      <c r="G28">
        <v>167.10000000000002</v>
      </c>
      <c r="H28">
        <v>168.95000000000002</v>
      </c>
      <c r="I28">
        <v>135.78</v>
      </c>
      <c r="J28">
        <v>83.7</v>
      </c>
      <c r="K28">
        <v>43.4</v>
      </c>
      <c r="L28">
        <v>14.399999999999999</v>
      </c>
      <c r="M28">
        <v>7.13</v>
      </c>
      <c r="N28" s="151">
        <f t="shared" si="12"/>
        <v>988.95</v>
      </c>
    </row>
    <row r="29" spans="1:14" x14ac:dyDescent="0.3">
      <c r="A29" t="s">
        <v>341</v>
      </c>
      <c r="B29">
        <v>12.4</v>
      </c>
      <c r="C29">
        <v>27.16</v>
      </c>
      <c r="D29">
        <v>62.929999999999993</v>
      </c>
      <c r="E29">
        <v>108.60000000000001</v>
      </c>
      <c r="F29">
        <v>157.47999999999999</v>
      </c>
      <c r="G29">
        <v>162.6</v>
      </c>
      <c r="H29">
        <v>164.92000000000002</v>
      </c>
      <c r="I29">
        <v>134.54</v>
      </c>
      <c r="J29">
        <v>81.600000000000009</v>
      </c>
      <c r="K29">
        <v>40.92</v>
      </c>
      <c r="L29">
        <v>14.7</v>
      </c>
      <c r="M29">
        <v>8.06</v>
      </c>
      <c r="N29" s="151">
        <f t="shared" si="12"/>
        <v>975.90999999999985</v>
      </c>
    </row>
    <row r="30" spans="1:14" x14ac:dyDescent="0.3">
      <c r="A30" t="s">
        <v>342</v>
      </c>
      <c r="B30">
        <v>10.540000000000001</v>
      </c>
      <c r="C30">
        <v>24.08</v>
      </c>
      <c r="D30">
        <v>61.69</v>
      </c>
      <c r="E30">
        <v>111.3</v>
      </c>
      <c r="F30">
        <v>161.51</v>
      </c>
      <c r="G30">
        <v>167.7</v>
      </c>
      <c r="H30">
        <v>170.19</v>
      </c>
      <c r="I30">
        <v>136.71</v>
      </c>
      <c r="J30">
        <v>84.9</v>
      </c>
      <c r="K30">
        <v>43.71</v>
      </c>
      <c r="L30">
        <v>14.1</v>
      </c>
      <c r="M30">
        <v>7.13</v>
      </c>
      <c r="N30" s="151">
        <f t="shared" si="12"/>
        <v>993.56000000000006</v>
      </c>
    </row>
    <row r="31" spans="1:14" x14ac:dyDescent="0.3">
      <c r="A31" t="s">
        <v>343</v>
      </c>
      <c r="B31">
        <v>10.540000000000001</v>
      </c>
      <c r="C31">
        <v>25.48</v>
      </c>
      <c r="D31">
        <v>61.69</v>
      </c>
      <c r="E31">
        <v>107.1</v>
      </c>
      <c r="F31">
        <v>155.93</v>
      </c>
      <c r="G31">
        <v>162</v>
      </c>
      <c r="H31">
        <v>164.60999999999999</v>
      </c>
      <c r="I31">
        <v>130.51</v>
      </c>
      <c r="J31">
        <v>77.400000000000006</v>
      </c>
      <c r="K31">
        <v>36.58</v>
      </c>
      <c r="L31">
        <v>12.9</v>
      </c>
      <c r="M31">
        <v>6.51</v>
      </c>
      <c r="N31" s="151">
        <f t="shared" si="12"/>
        <v>951.25</v>
      </c>
    </row>
    <row r="32" spans="1:14" x14ac:dyDescent="0.3">
      <c r="A32" t="s">
        <v>344</v>
      </c>
      <c r="B32">
        <v>10.540000000000001</v>
      </c>
      <c r="C32">
        <v>23.24</v>
      </c>
      <c r="D32">
        <v>61.07</v>
      </c>
      <c r="E32">
        <v>110.4</v>
      </c>
      <c r="F32">
        <v>161.20000000000002</v>
      </c>
      <c r="G32">
        <v>166.79999999999998</v>
      </c>
      <c r="H32">
        <v>168.64000000000001</v>
      </c>
      <c r="I32">
        <v>135.47</v>
      </c>
      <c r="J32">
        <v>83.7</v>
      </c>
      <c r="K32">
        <v>43.089999999999996</v>
      </c>
      <c r="L32">
        <v>14.1</v>
      </c>
      <c r="M32">
        <v>14.569999999999999</v>
      </c>
      <c r="N32" s="151">
        <f t="shared" si="12"/>
        <v>992.82000000000016</v>
      </c>
    </row>
    <row r="33" spans="1:14" x14ac:dyDescent="0.3">
      <c r="A33" t="s">
        <v>345</v>
      </c>
      <c r="B33">
        <v>8.99</v>
      </c>
      <c r="C33">
        <v>21.560000000000002</v>
      </c>
      <c r="D33">
        <v>61.69</v>
      </c>
      <c r="E33">
        <v>112.5</v>
      </c>
      <c r="F33">
        <v>164.92000000000002</v>
      </c>
      <c r="G33">
        <v>171.9</v>
      </c>
      <c r="H33">
        <v>169.57</v>
      </c>
      <c r="I33">
        <v>134.54</v>
      </c>
      <c r="J33">
        <v>79.800000000000011</v>
      </c>
      <c r="K33">
        <v>38.130000000000003</v>
      </c>
      <c r="L33">
        <v>12.299999999999999</v>
      </c>
      <c r="M33">
        <v>5.89</v>
      </c>
      <c r="N33" s="151">
        <f t="shared" si="12"/>
        <v>981.79</v>
      </c>
    </row>
    <row r="34" spans="1:14" x14ac:dyDescent="0.3">
      <c r="A34" t="s">
        <v>346</v>
      </c>
      <c r="B34">
        <v>11.47</v>
      </c>
      <c r="C34">
        <v>25.48</v>
      </c>
      <c r="D34">
        <v>67.89</v>
      </c>
      <c r="E34">
        <v>120</v>
      </c>
      <c r="F34">
        <v>170.19</v>
      </c>
      <c r="G34">
        <v>178.8</v>
      </c>
      <c r="H34">
        <v>175.46</v>
      </c>
      <c r="I34">
        <v>139.5</v>
      </c>
      <c r="J34">
        <v>87.300000000000011</v>
      </c>
      <c r="K34">
        <v>42.779999999999994</v>
      </c>
      <c r="L34">
        <v>15</v>
      </c>
      <c r="M34">
        <v>7.75</v>
      </c>
      <c r="N34" s="151">
        <f t="shared" si="12"/>
        <v>1041.6199999999999</v>
      </c>
    </row>
    <row r="35" spans="1:14" x14ac:dyDescent="0.3">
      <c r="A35" t="s">
        <v>347</v>
      </c>
      <c r="B35">
        <v>9.92</v>
      </c>
      <c r="C35">
        <v>22.400000000000002</v>
      </c>
      <c r="D35">
        <v>62.929999999999993</v>
      </c>
      <c r="E35">
        <v>109.2</v>
      </c>
      <c r="F35">
        <v>158.1</v>
      </c>
      <c r="G35">
        <v>162.6</v>
      </c>
      <c r="H35">
        <v>163.68</v>
      </c>
      <c r="I35">
        <v>131.75</v>
      </c>
      <c r="J35">
        <v>79.5</v>
      </c>
      <c r="K35">
        <v>39.06</v>
      </c>
      <c r="L35">
        <v>13.2</v>
      </c>
      <c r="M35">
        <v>6.82</v>
      </c>
      <c r="N35" s="151">
        <f t="shared" si="12"/>
        <v>959.16</v>
      </c>
    </row>
    <row r="36" spans="1:14" x14ac:dyDescent="0.3">
      <c r="A36" t="s">
        <v>348</v>
      </c>
      <c r="B36">
        <v>11.16</v>
      </c>
      <c r="C36">
        <v>25.48</v>
      </c>
      <c r="D36">
        <v>67.58</v>
      </c>
      <c r="E36">
        <v>116.7</v>
      </c>
      <c r="F36">
        <v>167.09</v>
      </c>
      <c r="G36">
        <v>174.60000000000002</v>
      </c>
      <c r="H36">
        <v>171.11999999999998</v>
      </c>
      <c r="I36">
        <v>135.47</v>
      </c>
      <c r="J36">
        <v>83.7</v>
      </c>
      <c r="K36">
        <v>40.92</v>
      </c>
      <c r="L36">
        <v>14.1</v>
      </c>
      <c r="M36">
        <v>7.13</v>
      </c>
      <c r="N36" s="151">
        <f t="shared" si="12"/>
        <v>1015.0500000000001</v>
      </c>
    </row>
    <row r="37" spans="1:14" x14ac:dyDescent="0.3">
      <c r="A37" t="s">
        <v>349</v>
      </c>
      <c r="B37">
        <v>10.23</v>
      </c>
      <c r="C37">
        <v>24.08</v>
      </c>
      <c r="D37">
        <v>61.69</v>
      </c>
      <c r="E37">
        <v>105.3</v>
      </c>
      <c r="F37">
        <v>153.45000000000002</v>
      </c>
      <c r="G37">
        <v>159</v>
      </c>
      <c r="H37">
        <v>160.89000000000001</v>
      </c>
      <c r="I37">
        <v>129.27000000000001</v>
      </c>
      <c r="J37">
        <v>77.099999999999994</v>
      </c>
      <c r="K37">
        <v>36.89</v>
      </c>
      <c r="L37">
        <v>12.6</v>
      </c>
      <c r="M37">
        <v>6.2</v>
      </c>
      <c r="N37" s="151">
        <f t="shared" si="12"/>
        <v>936.7</v>
      </c>
    </row>
    <row r="38" spans="1:14" x14ac:dyDescent="0.3">
      <c r="A38" t="s">
        <v>350</v>
      </c>
      <c r="B38">
        <v>11.47</v>
      </c>
      <c r="C38">
        <v>26.599999999999998</v>
      </c>
      <c r="D38">
        <v>61.69</v>
      </c>
      <c r="E38">
        <v>107.4</v>
      </c>
      <c r="F38">
        <v>154.69</v>
      </c>
      <c r="G38">
        <v>161.1</v>
      </c>
      <c r="H38">
        <v>163.36999999999998</v>
      </c>
      <c r="I38">
        <v>131.13000000000002</v>
      </c>
      <c r="J38">
        <v>78.600000000000009</v>
      </c>
      <c r="K38">
        <v>38.130000000000003</v>
      </c>
      <c r="L38">
        <v>13.5</v>
      </c>
      <c r="M38">
        <v>7.13</v>
      </c>
      <c r="N38" s="151">
        <f t="shared" si="12"/>
        <v>954.81000000000006</v>
      </c>
    </row>
    <row r="39" spans="1:14" x14ac:dyDescent="0.3">
      <c r="A39" t="s">
        <v>351</v>
      </c>
      <c r="B39">
        <v>10.85</v>
      </c>
      <c r="C39">
        <v>24.64</v>
      </c>
      <c r="D39">
        <v>63.24</v>
      </c>
      <c r="E39">
        <v>110.1</v>
      </c>
      <c r="F39">
        <v>159.96</v>
      </c>
      <c r="G39">
        <v>164.1</v>
      </c>
      <c r="H39">
        <v>166.16</v>
      </c>
      <c r="I39">
        <v>132.99</v>
      </c>
      <c r="J39">
        <v>80.7</v>
      </c>
      <c r="K39">
        <v>40.92</v>
      </c>
      <c r="L39">
        <v>13.5</v>
      </c>
      <c r="M39">
        <v>7.13</v>
      </c>
      <c r="N39" s="151">
        <f t="shared" si="12"/>
        <v>974.29</v>
      </c>
    </row>
    <row r="40" spans="1:14" x14ac:dyDescent="0.3">
      <c r="A40" t="s">
        <v>352</v>
      </c>
      <c r="B40">
        <v>9.2999999999999989</v>
      </c>
      <c r="C40">
        <v>23.24</v>
      </c>
      <c r="D40">
        <v>60.14</v>
      </c>
      <c r="E40">
        <v>106.2</v>
      </c>
      <c r="F40">
        <v>156.54999999999998</v>
      </c>
      <c r="G40">
        <v>163.20000000000002</v>
      </c>
      <c r="H40">
        <v>164.92000000000002</v>
      </c>
      <c r="I40">
        <v>130.20000000000002</v>
      </c>
      <c r="J40">
        <v>77.099999999999994</v>
      </c>
      <c r="K40">
        <v>35.96</v>
      </c>
      <c r="L40">
        <v>11.4</v>
      </c>
      <c r="M40">
        <v>5.58</v>
      </c>
      <c r="N40" s="151">
        <f t="shared" si="12"/>
        <v>943.79000000000008</v>
      </c>
    </row>
    <row r="41" spans="1:14" x14ac:dyDescent="0.3">
      <c r="A41" t="s">
        <v>353</v>
      </c>
      <c r="B41">
        <v>10.85</v>
      </c>
      <c r="C41">
        <v>24.64</v>
      </c>
      <c r="D41">
        <v>62</v>
      </c>
      <c r="E41">
        <v>110.1</v>
      </c>
      <c r="F41">
        <v>157.17000000000002</v>
      </c>
      <c r="G41">
        <v>162</v>
      </c>
      <c r="H41">
        <v>163.36999999999998</v>
      </c>
      <c r="I41">
        <v>132.68</v>
      </c>
      <c r="J41">
        <v>82.5</v>
      </c>
      <c r="K41">
        <v>41.85</v>
      </c>
      <c r="L41">
        <v>13.8</v>
      </c>
      <c r="M41">
        <v>7.4399999999999995</v>
      </c>
      <c r="N41" s="151">
        <f t="shared" si="12"/>
        <v>968.4</v>
      </c>
    </row>
    <row r="42" spans="1:14" x14ac:dyDescent="0.3">
      <c r="A42" t="s">
        <v>354</v>
      </c>
      <c r="B42">
        <v>11.16</v>
      </c>
      <c r="C42">
        <v>25.2</v>
      </c>
      <c r="D42">
        <v>62.62</v>
      </c>
      <c r="E42">
        <v>106.8</v>
      </c>
      <c r="F42">
        <v>154.38000000000002</v>
      </c>
      <c r="G42">
        <v>160.80000000000001</v>
      </c>
      <c r="H42">
        <v>162.75</v>
      </c>
      <c r="I42">
        <v>131.75</v>
      </c>
      <c r="J42">
        <v>78.600000000000009</v>
      </c>
      <c r="K42">
        <v>39.369999999999997</v>
      </c>
      <c r="L42">
        <v>13.5</v>
      </c>
      <c r="M42">
        <v>7.13</v>
      </c>
      <c r="N42" s="151">
        <f t="shared" si="12"/>
        <v>954.06000000000006</v>
      </c>
    </row>
    <row r="43" spans="1:14" x14ac:dyDescent="0.3">
      <c r="A43" t="s">
        <v>355</v>
      </c>
      <c r="B43">
        <v>10.23</v>
      </c>
      <c r="C43">
        <v>24.64</v>
      </c>
      <c r="D43">
        <v>65.100000000000009</v>
      </c>
      <c r="E43">
        <v>111.60000000000001</v>
      </c>
      <c r="F43">
        <v>164.60999999999999</v>
      </c>
      <c r="G43">
        <v>169.5</v>
      </c>
      <c r="H43">
        <v>170.81</v>
      </c>
      <c r="I43">
        <v>135.16</v>
      </c>
      <c r="J43">
        <v>81.600000000000009</v>
      </c>
      <c r="K43">
        <v>39.369999999999997</v>
      </c>
      <c r="L43">
        <v>12.9</v>
      </c>
      <c r="M43">
        <v>6.51</v>
      </c>
      <c r="N43" s="151">
        <f t="shared" si="12"/>
        <v>992.03</v>
      </c>
    </row>
    <row r="44" spans="1:14" x14ac:dyDescent="0.3">
      <c r="A44" t="s">
        <v>356</v>
      </c>
      <c r="B44">
        <v>10.540000000000001</v>
      </c>
      <c r="C44">
        <v>23.52</v>
      </c>
      <c r="D44">
        <v>63.24</v>
      </c>
      <c r="E44">
        <v>110.4</v>
      </c>
      <c r="F44">
        <v>157.17000000000002</v>
      </c>
      <c r="G44">
        <v>162.89999999999998</v>
      </c>
      <c r="H44">
        <v>163.06</v>
      </c>
      <c r="I44">
        <v>132.06</v>
      </c>
      <c r="J44">
        <v>80.7</v>
      </c>
      <c r="K44">
        <v>40.300000000000004</v>
      </c>
      <c r="L44">
        <v>13.2</v>
      </c>
      <c r="M44">
        <v>6.82</v>
      </c>
      <c r="N44" s="151">
        <f t="shared" si="12"/>
        <v>963.91</v>
      </c>
    </row>
    <row r="45" spans="1:14" x14ac:dyDescent="0.3">
      <c r="A45" t="s">
        <v>357</v>
      </c>
      <c r="B45">
        <v>9.92</v>
      </c>
      <c r="C45">
        <v>23.52</v>
      </c>
      <c r="D45">
        <v>65.72</v>
      </c>
      <c r="E45">
        <v>117</v>
      </c>
      <c r="F45">
        <v>168.95000000000002</v>
      </c>
      <c r="G45">
        <v>176.7</v>
      </c>
      <c r="H45">
        <v>174.22</v>
      </c>
      <c r="I45">
        <v>137.64000000000001</v>
      </c>
      <c r="J45">
        <v>83.399999999999991</v>
      </c>
      <c r="K45">
        <v>40.300000000000004</v>
      </c>
      <c r="L45">
        <v>13.2</v>
      </c>
      <c r="M45">
        <v>6.2</v>
      </c>
      <c r="N45" s="151">
        <f t="shared" si="12"/>
        <v>1016.77</v>
      </c>
    </row>
    <row r="46" spans="1:14" x14ac:dyDescent="0.3">
      <c r="A46" t="s">
        <v>358</v>
      </c>
      <c r="B46">
        <v>11.47</v>
      </c>
      <c r="C46">
        <v>25.48</v>
      </c>
      <c r="D46">
        <v>62.62</v>
      </c>
      <c r="E46">
        <v>107.69999999999999</v>
      </c>
      <c r="F46">
        <v>155.31</v>
      </c>
      <c r="G46">
        <v>161.1</v>
      </c>
      <c r="H46">
        <v>163.36999999999998</v>
      </c>
      <c r="I46">
        <v>131.75</v>
      </c>
      <c r="J46">
        <v>78.600000000000009</v>
      </c>
      <c r="K46">
        <v>39.369999999999997</v>
      </c>
      <c r="L46">
        <v>13.8</v>
      </c>
      <c r="M46">
        <v>7.4399999999999995</v>
      </c>
      <c r="N46" s="151">
        <f t="shared" si="12"/>
        <v>958.01</v>
      </c>
    </row>
    <row r="47" spans="1:14" x14ac:dyDescent="0.3">
      <c r="A47" t="s">
        <v>359</v>
      </c>
      <c r="B47">
        <v>10.540000000000001</v>
      </c>
      <c r="C47">
        <v>24.64</v>
      </c>
      <c r="D47">
        <v>62.309999999999995</v>
      </c>
      <c r="E47">
        <v>105.3</v>
      </c>
      <c r="F47">
        <v>153.14000000000001</v>
      </c>
      <c r="G47">
        <v>159</v>
      </c>
      <c r="H47">
        <v>161.20000000000002</v>
      </c>
      <c r="I47">
        <v>128.65</v>
      </c>
      <c r="J47">
        <v>76.5</v>
      </c>
      <c r="K47">
        <v>36.269999999999996</v>
      </c>
      <c r="L47">
        <v>12.299999999999999</v>
      </c>
      <c r="M47">
        <v>6.51</v>
      </c>
      <c r="N47" s="151">
        <f t="shared" si="12"/>
        <v>936.36</v>
      </c>
    </row>
    <row r="49" spans="2:14" x14ac:dyDescent="0.3">
      <c r="B49" s="151">
        <f>'4.lapa_Energoprasiba_apkurei'!C19</f>
        <v>0</v>
      </c>
      <c r="C49" s="151">
        <f>'4.lapa_Energoprasiba_apkurei'!D19</f>
        <v>0</v>
      </c>
      <c r="D49" s="151">
        <f>'4.lapa_Energoprasiba_apkurei'!E19</f>
        <v>0</v>
      </c>
      <c r="E49" s="151">
        <f>'4.lapa_Energoprasiba_apkurei'!F19</f>
        <v>0</v>
      </c>
      <c r="F49" s="151">
        <f>'4.lapa_Energoprasiba_apkurei'!G19</f>
        <v>0</v>
      </c>
      <c r="G49" s="151">
        <f>'4.lapa_Energoprasiba_apkurei'!H19</f>
        <v>0</v>
      </c>
      <c r="H49" s="151">
        <f>'4.lapa_Energoprasiba_apkurei'!I19</f>
        <v>0</v>
      </c>
      <c r="I49" s="151">
        <f>'4.lapa_Energoprasiba_apkurei'!J19</f>
        <v>0</v>
      </c>
      <c r="J49" s="151">
        <f>'4.lapa_Energoprasiba_apkurei'!K19</f>
        <v>0</v>
      </c>
      <c r="K49" s="151">
        <f>'4.lapa_Energoprasiba_apkurei'!L19</f>
        <v>0</v>
      </c>
      <c r="L49" s="151">
        <f>'4.lapa_Energoprasiba_apkurei'!M19</f>
        <v>0</v>
      </c>
      <c r="M49" s="151">
        <f>'4.lapa_Energoprasiba_apkurei'!N19</f>
        <v>0</v>
      </c>
      <c r="N49" s="151">
        <f>SUM(B49:M49)</f>
        <v>0</v>
      </c>
    </row>
    <row r="50" spans="2:14" x14ac:dyDescent="0.3">
      <c r="B50" s="202" t="e">
        <f>B49/$N$49</f>
        <v>#DIV/0!</v>
      </c>
      <c r="C50" s="202" t="e">
        <f t="shared" ref="C50:M50" si="13">C49/$N$49</f>
        <v>#DIV/0!</v>
      </c>
      <c r="D50" s="202" t="e">
        <f t="shared" si="13"/>
        <v>#DIV/0!</v>
      </c>
      <c r="E50" s="202" t="e">
        <f t="shared" si="13"/>
        <v>#DIV/0!</v>
      </c>
      <c r="F50" s="202" t="e">
        <f t="shared" si="13"/>
        <v>#DIV/0!</v>
      </c>
      <c r="G50" s="202" t="e">
        <f t="shared" si="13"/>
        <v>#DIV/0!</v>
      </c>
      <c r="H50" s="202" t="e">
        <f t="shared" si="13"/>
        <v>#DIV/0!</v>
      </c>
      <c r="I50" s="202" t="e">
        <f t="shared" si="13"/>
        <v>#DIV/0!</v>
      </c>
      <c r="J50" s="202" t="e">
        <f t="shared" si="13"/>
        <v>#DIV/0!</v>
      </c>
      <c r="K50" s="202" t="e">
        <f t="shared" si="13"/>
        <v>#DIV/0!</v>
      </c>
      <c r="L50" s="202" t="e">
        <f t="shared" si="13"/>
        <v>#DIV/0!</v>
      </c>
      <c r="M50" s="202" t="e">
        <f t="shared" si="13"/>
        <v>#DIV/0!</v>
      </c>
      <c r="N50" s="151" t="e">
        <f>SUM(B50:M50)</f>
        <v>#DIV/0!</v>
      </c>
    </row>
    <row r="51" spans="2:14" x14ac:dyDescent="0.3">
      <c r="B51">
        <v>3.6146417350525706E-2</v>
      </c>
      <c r="C51">
        <v>7.6279205039020345E-2</v>
      </c>
      <c r="D51">
        <v>0.28064469227002325</v>
      </c>
      <c r="E51">
        <v>0.78384687481672821</v>
      </c>
      <c r="F51">
        <v>1.7446081860138685</v>
      </c>
      <c r="G51">
        <v>2.7434421628880106</v>
      </c>
      <c r="H51">
        <v>4.9010512512828397</v>
      </c>
      <c r="I51">
        <v>3.4253706119911995</v>
      </c>
      <c r="J51">
        <v>1.3396992369508889</v>
      </c>
      <c r="K51">
        <v>0.3331348971895477</v>
      </c>
      <c r="L51">
        <v>6.4177810239405275E-2</v>
      </c>
      <c r="M51">
        <v>3.0176757462524875E-2</v>
      </c>
      <c r="N51">
        <f>SUM(B51:M51)</f>
        <v>15.758578103494582</v>
      </c>
    </row>
    <row r="52" spans="2:14" x14ac:dyDescent="0.3">
      <c r="B52">
        <f>B51/$N$51</f>
        <v>2.2937613478280741E-3</v>
      </c>
      <c r="C52">
        <f t="shared" ref="C52:M52" si="14">C51/$N$51</f>
        <v>4.8404877989661303E-3</v>
      </c>
      <c r="D52">
        <f t="shared" si="14"/>
        <v>1.780901109395068E-2</v>
      </c>
      <c r="E52">
        <f t="shared" si="14"/>
        <v>4.9740964550786748E-2</v>
      </c>
      <c r="F52">
        <f t="shared" si="14"/>
        <v>0.11070847728495178</v>
      </c>
      <c r="G52">
        <f t="shared" si="14"/>
        <v>0.174091986273789</v>
      </c>
      <c r="H52">
        <f t="shared" si="14"/>
        <v>0.31100846910775504</v>
      </c>
      <c r="I52">
        <f t="shared" si="14"/>
        <v>0.21736546213085037</v>
      </c>
      <c r="J52">
        <f t="shared" si="14"/>
        <v>8.501396687901687E-2</v>
      </c>
      <c r="K52">
        <f t="shared" si="14"/>
        <v>2.1139908372549969E-2</v>
      </c>
      <c r="L52">
        <f t="shared" si="14"/>
        <v>4.0725635154337542E-3</v>
      </c>
      <c r="M52">
        <f t="shared" si="14"/>
        <v>1.9149416441216201E-3</v>
      </c>
      <c r="N52">
        <f>SUM(B52:M52)</f>
        <v>1</v>
      </c>
    </row>
  </sheetData>
  <mergeCells count="3">
    <mergeCell ref="B2:E2"/>
    <mergeCell ref="F2:H2"/>
    <mergeCell ref="B9:N9"/>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1.lapa_Patēriņš</vt:lpstr>
      <vt:lpstr>2.lapa_Esošā situācija</vt:lpstr>
      <vt:lpstr>3.lapa_Situācija pēc</vt:lpstr>
      <vt:lpstr>4.lapa_Energoprasiba_apkurei</vt:lpstr>
      <vt:lpstr>5.lapa_Energoefektivitate</vt:lpstr>
      <vt:lpstr>6.lapa_Centralizētā</vt:lpstr>
      <vt:lpstr>PV_enerģija</vt:lpstr>
      <vt:lpstr>Output_Heizwaerme_Jahresverfahren</vt:lpstr>
      <vt:lpstr>'1.lapa_Patēriņš'!Print_Area</vt:lpstr>
      <vt:lpstr>'2.lapa_Esošā situācija'!Print_Area</vt:lpstr>
      <vt:lpstr>'3.lapa_Situācija pēc'!Print_Area</vt:lpstr>
      <vt:lpstr>'4.lapa_Energoprasiba_apkurei'!Print_Area</vt:lpstr>
      <vt:lpstr>'5.lapa_Energoefektivitate'!Print_Area</vt:lpstr>
      <vt:lpstr>'6.lapa_Centralizētā'!Print_Area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Modris</dc:creator>
  <cp:keywords/>
  <dc:description/>
  <cp:lastModifiedBy>Kristīne Šmite</cp:lastModifiedBy>
  <cp:revision/>
  <cp:lastPrinted>2022-12-15T10:19:38Z</cp:lastPrinted>
  <dcterms:created xsi:type="dcterms:W3CDTF">2021-08-31T15:22:26Z</dcterms:created>
  <dcterms:modified xsi:type="dcterms:W3CDTF">2022-12-16T06:37:01Z</dcterms:modified>
  <cp:category/>
  <cp:contentStatus/>
</cp:coreProperties>
</file>