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defaultThemeVersion="166925"/>
  <mc:AlternateContent xmlns:mc="http://schemas.openxmlformats.org/markup-compatibility/2006">
    <mc:Choice Requires="x15">
      <x15ac:absPath xmlns:x15ac="http://schemas.microsoft.com/office/spreadsheetml/2010/11/ac" url="C:\Users\cf-matuz\Downloads\"/>
    </mc:Choice>
  </mc:AlternateContent>
  <xr:revisionPtr revIDLastSave="0" documentId="8_{A22687B5-805E-4D7E-8537-3CD1F74321F1}" xr6:coauthVersionLast="47" xr6:coauthVersionMax="47" xr10:uidLastSave="{00000000-0000-0000-0000-000000000000}"/>
  <bookViews>
    <workbookView xWindow="37305" yWindow="2670" windowWidth="22875" windowHeight="20715" tabRatio="927" xr2:uid="{00000000-000D-0000-FFFF-FFFF00000000}"/>
  </bookViews>
  <sheets>
    <sheet name="1.sadaļa" sheetId="5" r:id="rId1"/>
    <sheet name="2.sadaļa" sheetId="16" r:id="rId2"/>
    <sheet name="3.sadaļa" sheetId="2" r:id="rId3"/>
    <sheet name="4.sadaļa" sheetId="17" r:id="rId4"/>
    <sheet name="5.sadaļa" sheetId="10" r:id="rId5"/>
    <sheet name="6.sadaļa" sheetId="14" r:id="rId6"/>
    <sheet name="PIV_rādītāji" sheetId="15" r:id="rId7"/>
    <sheet name="PV_enerģija" sheetId="12" state="hidden" r:id="rId8"/>
  </sheets>
  <definedNames>
    <definedName name="Output_Heizwaerme_Jahresverfahren">#REF!</definedName>
    <definedName name="_xlnm.Print_Area" localSheetId="0">'1.sadaļa'!$A$1:$N$71</definedName>
    <definedName name="_xlnm.Print_Area" localSheetId="1">'2.sadaļa'!$A$1:$K$61</definedName>
    <definedName name="_xlnm.Print_Area" localSheetId="2">'3.sadaļa'!$A$1:$K$142</definedName>
    <definedName name="_xlnm.Print_Area" localSheetId="3">'4.sadaļa'!$A$1:$K$61</definedName>
    <definedName name="_xlnm.Print_Area" localSheetId="4">'5.sadaļa'!$A$1:$F$28</definedName>
    <definedName name="_xlnm.Print_Area" localSheetId="5">'6.sadaļa'!$A$1:$N$57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17" l="1"/>
  <c r="J50" i="17"/>
  <c r="J22" i="17"/>
  <c r="J22" i="16"/>
  <c r="H41" i="5"/>
  <c r="H29" i="17"/>
  <c r="H30" i="17"/>
  <c r="H28" i="17"/>
  <c r="H29" i="16"/>
  <c r="H30" i="16"/>
  <c r="H28" i="16"/>
  <c r="B18" i="10"/>
  <c r="M4" i="10"/>
  <c r="N59" i="16"/>
  <c r="I59" i="16" s="1"/>
  <c r="N58" i="16"/>
  <c r="I58" i="16" s="1"/>
  <c r="N57" i="16"/>
  <c r="I57" i="16" s="1"/>
  <c r="N56" i="16"/>
  <c r="I56" i="16" s="1"/>
  <c r="I60" i="16" s="1"/>
  <c r="N49" i="16"/>
  <c r="J49" i="16" s="1"/>
  <c r="G49" i="16"/>
  <c r="N48" i="16"/>
  <c r="J48" i="16" s="1"/>
  <c r="G48" i="16"/>
  <c r="N47" i="16"/>
  <c r="J47" i="16" s="1"/>
  <c r="G47" i="16"/>
  <c r="N46" i="16"/>
  <c r="J46" i="16" s="1"/>
  <c r="J50" i="16" s="1"/>
  <c r="G46" i="16"/>
  <c r="N39" i="16"/>
  <c r="J39" i="16"/>
  <c r="N38" i="16"/>
  <c r="J38" i="16" s="1"/>
  <c r="N37" i="16"/>
  <c r="J37" i="16"/>
  <c r="N36" i="16"/>
  <c r="J36" i="16" s="1"/>
  <c r="J40" i="16" s="1"/>
  <c r="O30" i="16"/>
  <c r="N30" i="16"/>
  <c r="E30" i="16"/>
  <c r="F30" i="16" s="1"/>
  <c r="O29" i="16"/>
  <c r="N29" i="16"/>
  <c r="E29" i="16"/>
  <c r="F29" i="16" s="1"/>
  <c r="O28" i="16"/>
  <c r="N28" i="16"/>
  <c r="E28" i="16"/>
  <c r="F28" i="16" s="1"/>
  <c r="O22" i="16"/>
  <c r="O21" i="16"/>
  <c r="J21" i="16" s="1"/>
  <c r="O20" i="16"/>
  <c r="J20" i="16" s="1"/>
  <c r="O19" i="16"/>
  <c r="O18" i="16"/>
  <c r="J18" i="16"/>
  <c r="O17" i="16"/>
  <c r="J17" i="16"/>
  <c r="O16" i="16"/>
  <c r="J16" i="16" s="1"/>
  <c r="O15" i="16"/>
  <c r="J15" i="16" s="1"/>
  <c r="O14" i="16"/>
  <c r="J14" i="16" s="1"/>
  <c r="O8" i="16"/>
  <c r="N57" i="17"/>
  <c r="I57" i="17" s="1"/>
  <c r="N58" i="17"/>
  <c r="I58" i="17" s="1"/>
  <c r="N59" i="17"/>
  <c r="I59" i="17" s="1"/>
  <c r="N56" i="17"/>
  <c r="I56" i="17" s="1"/>
  <c r="N47" i="17"/>
  <c r="J47" i="17" s="1"/>
  <c r="N48" i="17"/>
  <c r="J48" i="17" s="1"/>
  <c r="N49" i="17"/>
  <c r="J49" i="17" s="1"/>
  <c r="N46" i="17"/>
  <c r="J46" i="17" s="1"/>
  <c r="N37" i="17"/>
  <c r="J37" i="17" s="1"/>
  <c r="N38" i="17"/>
  <c r="J38" i="17" s="1"/>
  <c r="N39" i="17"/>
  <c r="J39" i="17" s="1"/>
  <c r="N36" i="17"/>
  <c r="J36" i="17" s="1"/>
  <c r="J40" i="17" s="1"/>
  <c r="O8" i="17"/>
  <c r="J8" i="17" s="1"/>
  <c r="O15" i="17"/>
  <c r="J15" i="17" s="1"/>
  <c r="O16" i="17"/>
  <c r="J16" i="17" s="1"/>
  <c r="O17" i="17"/>
  <c r="J17" i="17" s="1"/>
  <c r="O18" i="17"/>
  <c r="J18" i="17" s="1"/>
  <c r="O19" i="17"/>
  <c r="O20" i="17"/>
  <c r="J20" i="17" s="1"/>
  <c r="O21" i="17"/>
  <c r="J21" i="17" s="1"/>
  <c r="O22" i="17"/>
  <c r="O14" i="17"/>
  <c r="J14" i="17" s="1"/>
  <c r="J19" i="17" s="1"/>
  <c r="E29" i="17"/>
  <c r="E30" i="17"/>
  <c r="N29" i="17"/>
  <c r="N30" i="17"/>
  <c r="N28" i="17"/>
  <c r="O30" i="17"/>
  <c r="O29" i="17"/>
  <c r="O28" i="17"/>
  <c r="F53" i="14" l="1"/>
  <c r="J29" i="16"/>
  <c r="F32" i="14"/>
  <c r="J28" i="16"/>
  <c r="J8" i="16"/>
  <c r="J30" i="16"/>
  <c r="J19" i="16"/>
  <c r="F29" i="17"/>
  <c r="J29" i="17" s="1"/>
  <c r="F30" i="17"/>
  <c r="J30" i="17" s="1"/>
  <c r="E28" i="17"/>
  <c r="F28" i="17" s="1"/>
  <c r="J28" i="17" s="1"/>
  <c r="J31" i="17" s="1"/>
  <c r="C9" i="10"/>
  <c r="J31" i="16" l="1"/>
  <c r="B25" i="14"/>
  <c r="E20" i="10"/>
  <c r="C13" i="10"/>
  <c r="D12" i="10"/>
  <c r="E12" i="10"/>
  <c r="E24" i="10"/>
  <c r="D9" i="10"/>
  <c r="D10" i="10"/>
  <c r="D13" i="10"/>
  <c r="E9" i="10"/>
  <c r="E10" i="10"/>
  <c r="E13" i="10"/>
  <c r="E21" i="10"/>
  <c r="C12" i="10"/>
  <c r="E23" i="10"/>
  <c r="C10" i="10"/>
  <c r="G49" i="17"/>
  <c r="G48" i="17"/>
  <c r="G47" i="17"/>
  <c r="G46" i="17"/>
  <c r="J85" i="2"/>
  <c r="J84" i="2"/>
  <c r="J82" i="2"/>
  <c r="J83" i="2" s="1"/>
  <c r="J73" i="2"/>
  <c r="J74" i="2" s="1"/>
  <c r="J61" i="2"/>
  <c r="J60" i="2"/>
  <c r="J58" i="2"/>
  <c r="J59" i="2" s="1"/>
  <c r="J49" i="2"/>
  <c r="J50" i="2" s="1"/>
  <c r="B46" i="14" l="1"/>
  <c r="J51" i="2"/>
  <c r="J62" i="2"/>
  <c r="J75" i="2"/>
  <c r="J86" i="2"/>
  <c r="F21" i="10"/>
  <c r="J40" i="2"/>
  <c r="J126" i="2"/>
  <c r="J127" i="2"/>
  <c r="J128" i="2"/>
  <c r="J129" i="2"/>
  <c r="J125" i="2"/>
  <c r="J120" i="2"/>
  <c r="J121" i="2"/>
  <c r="J122" i="2"/>
  <c r="J123" i="2"/>
  <c r="J119" i="2"/>
  <c r="J114" i="2"/>
  <c r="J115" i="2"/>
  <c r="J116" i="2"/>
  <c r="J117" i="2"/>
  <c r="J113" i="2"/>
  <c r="I31" i="2"/>
  <c r="I32" i="2"/>
  <c r="I33" i="2"/>
  <c r="I34" i="2"/>
  <c r="I35" i="2"/>
  <c r="I36" i="2"/>
  <c r="I37" i="2"/>
  <c r="I38" i="2"/>
  <c r="I39" i="2"/>
  <c r="I40" i="2"/>
  <c r="I41" i="2"/>
  <c r="I42" i="2"/>
  <c r="I11" i="2"/>
  <c r="I12" i="2"/>
  <c r="I13" i="2"/>
  <c r="I14" i="2"/>
  <c r="I15" i="2"/>
  <c r="I16" i="2"/>
  <c r="I17" i="2"/>
  <c r="I18" i="2"/>
  <c r="I19" i="2"/>
  <c r="I20" i="2"/>
  <c r="I21" i="2"/>
  <c r="I22" i="2"/>
  <c r="I23" i="2"/>
  <c r="I24" i="2"/>
  <c r="I25" i="2"/>
  <c r="I26" i="2"/>
  <c r="I27" i="2"/>
  <c r="I28" i="2"/>
  <c r="I29" i="2"/>
  <c r="I30" i="2"/>
  <c r="J30" i="2"/>
  <c r="J29" i="2"/>
  <c r="J28" i="2"/>
  <c r="J27" i="2"/>
  <c r="J26" i="2"/>
  <c r="H39" i="2"/>
  <c r="J39" i="2" s="1"/>
  <c r="H38" i="2"/>
  <c r="J38" i="2" s="1"/>
  <c r="H40" i="2"/>
  <c r="H33" i="2"/>
  <c r="J33" i="2" s="1"/>
  <c r="H32" i="2"/>
  <c r="J32" i="2" s="1"/>
  <c r="H34" i="2"/>
  <c r="J34" i="2" s="1"/>
  <c r="H26" i="2"/>
  <c r="H14" i="2"/>
  <c r="J14" i="2" s="1"/>
  <c r="H21" i="2"/>
  <c r="J21" i="2" s="1"/>
  <c r="H27" i="2"/>
  <c r="H28" i="2"/>
  <c r="H22" i="2"/>
  <c r="J22" i="2" s="1"/>
  <c r="H23" i="2"/>
  <c r="J23" i="2" s="1"/>
  <c r="H17" i="2"/>
  <c r="J17" i="2" s="1"/>
  <c r="H16" i="2"/>
  <c r="J16" i="2" s="1"/>
  <c r="H15" i="2"/>
  <c r="J15" i="2" s="1"/>
  <c r="J76" i="2" l="1"/>
  <c r="J87" i="2"/>
  <c r="J52" i="2"/>
  <c r="J63" i="2"/>
  <c r="E44" i="14"/>
  <c r="E49" i="14"/>
  <c r="G135" i="2"/>
  <c r="K39" i="2"/>
  <c r="K27" i="2"/>
  <c r="K38" i="2"/>
  <c r="K40" i="2"/>
  <c r="K33" i="2"/>
  <c r="K32" i="2"/>
  <c r="K26" i="2"/>
  <c r="K34" i="2"/>
  <c r="K14" i="2"/>
  <c r="K22" i="2"/>
  <c r="K17" i="2"/>
  <c r="K21" i="2"/>
  <c r="K28" i="2"/>
  <c r="K23" i="2"/>
  <c r="K16" i="2"/>
  <c r="K15" i="2"/>
  <c r="J53" i="2" l="1"/>
  <c r="J64" i="2"/>
  <c r="J77" i="2"/>
  <c r="J88" i="2"/>
  <c r="N13" i="5"/>
  <c r="N14" i="5"/>
  <c r="N15" i="5"/>
  <c r="N16" i="5"/>
  <c r="F105" i="2"/>
  <c r="F102" i="2"/>
  <c r="F99" i="2"/>
  <c r="N55" i="14"/>
  <c r="N54" i="14"/>
  <c r="M55" i="14"/>
  <c r="M54" i="14"/>
  <c r="J55" i="14"/>
  <c r="J54" i="14"/>
  <c r="I55" i="14"/>
  <c r="I54" i="14"/>
  <c r="H55" i="14"/>
  <c r="N34" i="14"/>
  <c r="N33" i="14"/>
  <c r="M34" i="14"/>
  <c r="M33" i="14"/>
  <c r="J34" i="14"/>
  <c r="J33" i="14"/>
  <c r="I34" i="14"/>
  <c r="I33" i="14"/>
  <c r="H34" i="14"/>
  <c r="H33" i="14"/>
  <c r="F22" i="14"/>
  <c r="F24" i="14"/>
  <c r="I10" i="2"/>
  <c r="H10" i="2"/>
  <c r="J10" i="2" s="1"/>
  <c r="H11" i="2"/>
  <c r="J11" i="2" s="1"/>
  <c r="H12" i="2"/>
  <c r="J12" i="2" s="1"/>
  <c r="H13" i="2"/>
  <c r="J13" i="2" s="1"/>
  <c r="H18" i="2"/>
  <c r="J18" i="2" s="1"/>
  <c r="H19" i="2"/>
  <c r="J19" i="2" s="1"/>
  <c r="H20" i="2"/>
  <c r="J20" i="2" s="1"/>
  <c r="H24" i="2"/>
  <c r="J24" i="2" s="1"/>
  <c r="H25" i="2"/>
  <c r="H29" i="2"/>
  <c r="H30" i="2"/>
  <c r="H31" i="2"/>
  <c r="J31" i="2" s="1"/>
  <c r="H35" i="2"/>
  <c r="J35" i="2" s="1"/>
  <c r="H36" i="2"/>
  <c r="J36" i="2" s="1"/>
  <c r="H37" i="2"/>
  <c r="J37" i="2" s="1"/>
  <c r="H41" i="2"/>
  <c r="J41" i="2" s="1"/>
  <c r="H42" i="2"/>
  <c r="J42" i="2" s="1"/>
  <c r="H9" i="2"/>
  <c r="K9" i="2" s="1"/>
  <c r="I50" i="2"/>
  <c r="I51" i="2"/>
  <c r="I52" i="2"/>
  <c r="I53" i="2"/>
  <c r="I54" i="2"/>
  <c r="I55" i="2"/>
  <c r="I56" i="2"/>
  <c r="I57" i="2"/>
  <c r="I58" i="2"/>
  <c r="I59" i="2"/>
  <c r="I60" i="2"/>
  <c r="I61" i="2"/>
  <c r="I62" i="2"/>
  <c r="I63" i="2"/>
  <c r="I64" i="2"/>
  <c r="I65" i="2"/>
  <c r="I49" i="2"/>
  <c r="H49" i="2"/>
  <c r="H50" i="2"/>
  <c r="H51" i="2"/>
  <c r="H52" i="2"/>
  <c r="H53" i="2"/>
  <c r="H54" i="2"/>
  <c r="H55" i="2"/>
  <c r="H56" i="2"/>
  <c r="H57" i="2"/>
  <c r="H58" i="2"/>
  <c r="H59" i="2"/>
  <c r="H60" i="2"/>
  <c r="H61" i="2"/>
  <c r="H62" i="2"/>
  <c r="H63" i="2"/>
  <c r="H64" i="2"/>
  <c r="H65" i="2"/>
  <c r="H48" i="2"/>
  <c r="K48" i="2" s="1"/>
  <c r="I74" i="2"/>
  <c r="I75" i="2"/>
  <c r="I76" i="2"/>
  <c r="I77" i="2"/>
  <c r="I78" i="2"/>
  <c r="I79" i="2"/>
  <c r="I80" i="2"/>
  <c r="I81" i="2"/>
  <c r="I82" i="2"/>
  <c r="I83" i="2"/>
  <c r="I84" i="2"/>
  <c r="I85" i="2"/>
  <c r="I86" i="2"/>
  <c r="I87" i="2"/>
  <c r="I88" i="2"/>
  <c r="I89" i="2"/>
  <c r="I73" i="2"/>
  <c r="H73" i="2"/>
  <c r="H74" i="2"/>
  <c r="H75" i="2"/>
  <c r="H76" i="2"/>
  <c r="H77" i="2"/>
  <c r="H78" i="2"/>
  <c r="H79" i="2"/>
  <c r="H80" i="2"/>
  <c r="H81" i="2"/>
  <c r="H82" i="2"/>
  <c r="H83" i="2"/>
  <c r="H84" i="2"/>
  <c r="H85" i="2"/>
  <c r="H86" i="2"/>
  <c r="H87" i="2"/>
  <c r="H88" i="2"/>
  <c r="H89" i="2"/>
  <c r="H72" i="2"/>
  <c r="G100" i="2"/>
  <c r="G103" i="2"/>
  <c r="G97" i="2"/>
  <c r="D99" i="2"/>
  <c r="G99" i="2" s="1"/>
  <c r="D98" i="2"/>
  <c r="G98" i="2" s="1"/>
  <c r="F45" i="14"/>
  <c r="F43" i="14"/>
  <c r="K10" i="14"/>
  <c r="K12" i="14"/>
  <c r="M39" i="5"/>
  <c r="L39" i="5"/>
  <c r="K39" i="5"/>
  <c r="J39" i="5"/>
  <c r="I39" i="5"/>
  <c r="H39" i="5"/>
  <c r="G39" i="5"/>
  <c r="F39" i="5"/>
  <c r="E39" i="5"/>
  <c r="D39" i="5"/>
  <c r="C39" i="5"/>
  <c r="B39" i="5"/>
  <c r="N27" i="5"/>
  <c r="N26" i="5"/>
  <c r="F47" i="14"/>
  <c r="I47" i="14" s="1"/>
  <c r="F48" i="14"/>
  <c r="F49" i="14"/>
  <c r="F50" i="14"/>
  <c r="F26" i="14"/>
  <c r="I26" i="14" s="1"/>
  <c r="F27" i="14"/>
  <c r="F29" i="14"/>
  <c r="E137" i="2"/>
  <c r="E136" i="2"/>
  <c r="E135" i="2"/>
  <c r="I105" i="2"/>
  <c r="I104" i="2" s="1"/>
  <c r="I102" i="2"/>
  <c r="I101" i="2" s="1"/>
  <c r="I99" i="2"/>
  <c r="I98" i="2" s="1"/>
  <c r="D105" i="2"/>
  <c r="G105" i="2" s="1"/>
  <c r="D104" i="2"/>
  <c r="G104" i="2" s="1"/>
  <c r="D102" i="2"/>
  <c r="G102" i="2" s="1"/>
  <c r="D101" i="2"/>
  <c r="G101" i="2" s="1"/>
  <c r="K84" i="2" l="1"/>
  <c r="J78" i="2"/>
  <c r="J79" i="2" s="1"/>
  <c r="J80" i="2" s="1"/>
  <c r="J89" i="2"/>
  <c r="J54" i="2"/>
  <c r="J55" i="2" s="1"/>
  <c r="J56" i="2" s="1"/>
  <c r="J65" i="2"/>
  <c r="B52" i="14"/>
  <c r="K87" i="2"/>
  <c r="H26" i="14"/>
  <c r="J47" i="14"/>
  <c r="J26" i="14"/>
  <c r="L47" i="14"/>
  <c r="H47" i="14"/>
  <c r="K47" i="14" s="1"/>
  <c r="N39" i="5"/>
  <c r="B51" i="14"/>
  <c r="F44" i="14"/>
  <c r="K80" i="2"/>
  <c r="K86" i="2"/>
  <c r="K74" i="2"/>
  <c r="K78" i="2"/>
  <c r="K75" i="2"/>
  <c r="K83" i="2"/>
  <c r="K53" i="2"/>
  <c r="H90" i="2"/>
  <c r="K77" i="2"/>
  <c r="K89" i="2"/>
  <c r="K81" i="2"/>
  <c r="K82" i="2"/>
  <c r="K85" i="2"/>
  <c r="K88" i="2"/>
  <c r="K73" i="2"/>
  <c r="K76" i="2"/>
  <c r="K79" i="2"/>
  <c r="K57" i="2"/>
  <c r="K72" i="2"/>
  <c r="K49" i="2"/>
  <c r="K62" i="2"/>
  <c r="K50" i="2"/>
  <c r="K59" i="2"/>
  <c r="K24" i="2"/>
  <c r="K52" i="2"/>
  <c r="K56" i="2"/>
  <c r="K65" i="2"/>
  <c r="H66" i="2"/>
  <c r="K60" i="2"/>
  <c r="K54" i="2"/>
  <c r="K63" i="2"/>
  <c r="K51" i="2"/>
  <c r="K58" i="2"/>
  <c r="K61" i="2"/>
  <c r="K64" i="2"/>
  <c r="K25" i="2"/>
  <c r="K29" i="2"/>
  <c r="K30" i="2"/>
  <c r="K12" i="2"/>
  <c r="K11" i="2"/>
  <c r="K36" i="2"/>
  <c r="K10" i="2"/>
  <c r="K37" i="2"/>
  <c r="K41" i="2"/>
  <c r="K20" i="2"/>
  <c r="K42" i="2"/>
  <c r="K13" i="2"/>
  <c r="K18" i="2"/>
  <c r="K35" i="2"/>
  <c r="K31" i="2"/>
  <c r="K19" i="2"/>
  <c r="N8" i="14"/>
  <c r="L55" i="14"/>
  <c r="K55" i="14"/>
  <c r="W54" i="14"/>
  <c r="V54" i="14"/>
  <c r="U54" i="14"/>
  <c r="C49" i="14"/>
  <c r="H49" i="14" s="1"/>
  <c r="K49" i="14" s="1"/>
  <c r="F42" i="14"/>
  <c r="F21" i="14"/>
  <c r="J21" i="14" s="1"/>
  <c r="F20" i="14"/>
  <c r="K55" i="2" l="1"/>
  <c r="F46" i="14"/>
  <c r="E23" i="14"/>
  <c r="E28" i="14"/>
  <c r="K90" i="2"/>
  <c r="K66" i="2"/>
  <c r="I49" i="14"/>
  <c r="L49" i="14" s="1"/>
  <c r="J49" i="14"/>
  <c r="N49" i="14" s="1"/>
  <c r="H43" i="14"/>
  <c r="K43" i="14" s="1"/>
  <c r="I43" i="14"/>
  <c r="L43" i="14" s="1"/>
  <c r="J43" i="14"/>
  <c r="N43" i="14" s="1"/>
  <c r="H21" i="14"/>
  <c r="K21" i="14" s="1"/>
  <c r="H45" i="14"/>
  <c r="K45" i="14" s="1"/>
  <c r="H48" i="14"/>
  <c r="K48" i="14" s="1"/>
  <c r="I45" i="14"/>
  <c r="L45" i="14" s="1"/>
  <c r="I48" i="14"/>
  <c r="L48" i="14" s="1"/>
  <c r="H42" i="14"/>
  <c r="K42" i="14" s="1"/>
  <c r="J45" i="14"/>
  <c r="N45" i="14" s="1"/>
  <c r="J48" i="14"/>
  <c r="N48" i="14" s="1"/>
  <c r="J42" i="14"/>
  <c r="N42" i="14" s="1"/>
  <c r="I50" i="14"/>
  <c r="L50" i="14" s="1"/>
  <c r="J50" i="14"/>
  <c r="N50" i="14" s="1"/>
  <c r="I42" i="14"/>
  <c r="L42" i="14" s="1"/>
  <c r="N47" i="14"/>
  <c r="H50" i="14"/>
  <c r="K50" i="14" s="1"/>
  <c r="B31" i="14"/>
  <c r="F31" i="14" s="1"/>
  <c r="F52" i="14"/>
  <c r="H52" i="14" s="1"/>
  <c r="K52" i="14" s="1"/>
  <c r="B30" i="14"/>
  <c r="F30" i="14" s="1"/>
  <c r="I44" i="14"/>
  <c r="L44" i="14" s="1"/>
  <c r="I21" i="14"/>
  <c r="L21" i="14" s="1"/>
  <c r="F51" i="14"/>
  <c r="J53" i="14"/>
  <c r="N53" i="14" s="1"/>
  <c r="F28" i="14" l="1"/>
  <c r="F25" i="14"/>
  <c r="J51" i="14"/>
  <c r="N51" i="14" s="1"/>
  <c r="H53" i="14"/>
  <c r="K53" i="14" s="1"/>
  <c r="J44" i="14"/>
  <c r="N44" i="14" s="1"/>
  <c r="I53" i="14"/>
  <c r="L53" i="14" s="1"/>
  <c r="I52" i="14"/>
  <c r="L52" i="14" s="1"/>
  <c r="M52" i="14" s="1"/>
  <c r="J52" i="14"/>
  <c r="N52" i="14" s="1"/>
  <c r="H51" i="14"/>
  <c r="K51" i="14" s="1"/>
  <c r="I51" i="14"/>
  <c r="L51" i="14" s="1"/>
  <c r="H44" i="14"/>
  <c r="K44" i="14" s="1"/>
  <c r="M53" i="14" l="1"/>
  <c r="M51" i="14"/>
  <c r="F23" i="14"/>
  <c r="G137" i="2" l="1"/>
  <c r="J105" i="2"/>
  <c r="J103" i="2"/>
  <c r="J102" i="2"/>
  <c r="J100" i="2"/>
  <c r="J99" i="2"/>
  <c r="J97" i="2"/>
  <c r="G136" i="2" l="1"/>
  <c r="J104" i="2"/>
  <c r="J101" i="2"/>
  <c r="J98" i="2"/>
  <c r="K43" i="2"/>
  <c r="K91" i="2" s="1"/>
  <c r="H43" i="2"/>
  <c r="J106" i="2" l="1"/>
  <c r="J135" i="2" l="1"/>
  <c r="J20" i="5"/>
  <c r="I20" i="5"/>
  <c r="N69" i="5"/>
  <c r="N68" i="5"/>
  <c r="N67" i="5"/>
  <c r="N66" i="5"/>
  <c r="N65" i="5"/>
  <c r="N70" i="5" s="1"/>
  <c r="B38" i="5" l="1"/>
  <c r="M38" i="5"/>
  <c r="L38" i="5"/>
  <c r="K38" i="5"/>
  <c r="J38" i="5"/>
  <c r="I38" i="5"/>
  <c r="H38" i="5"/>
  <c r="G38" i="5"/>
  <c r="F38" i="5"/>
  <c r="E38" i="5"/>
  <c r="D38" i="5"/>
  <c r="C38" i="5"/>
  <c r="G37" i="5"/>
  <c r="B37" i="5"/>
  <c r="E37" i="5"/>
  <c r="J137" i="2"/>
  <c r="J136" i="2"/>
  <c r="J43" i="5"/>
  <c r="I43" i="5"/>
  <c r="I42" i="5"/>
  <c r="H42" i="5"/>
  <c r="G41" i="5"/>
  <c r="G40" i="5"/>
  <c r="F40" i="5"/>
  <c r="F37" i="5"/>
  <c r="H43" i="5"/>
  <c r="G42" i="5"/>
  <c r="F41" i="5"/>
  <c r="E40" i="5"/>
  <c r="D37" i="5"/>
  <c r="G43" i="5"/>
  <c r="F42" i="5"/>
  <c r="E41" i="5"/>
  <c r="D40" i="5"/>
  <c r="C37" i="5"/>
  <c r="F43" i="5"/>
  <c r="E42" i="5"/>
  <c r="D41" i="5"/>
  <c r="C40" i="5"/>
  <c r="B43" i="5"/>
  <c r="E43" i="5"/>
  <c r="D42" i="5"/>
  <c r="C41" i="5"/>
  <c r="M37" i="5"/>
  <c r="B42" i="5"/>
  <c r="D43" i="5"/>
  <c r="C42" i="5"/>
  <c r="M40" i="5"/>
  <c r="L37" i="5"/>
  <c r="B41" i="5"/>
  <c r="C43" i="5"/>
  <c r="M41" i="5"/>
  <c r="L40" i="5"/>
  <c r="K37" i="5"/>
  <c r="B40" i="5"/>
  <c r="M42" i="5"/>
  <c r="L41" i="5"/>
  <c r="K40" i="5"/>
  <c r="J37" i="5"/>
  <c r="M43" i="5"/>
  <c r="L42" i="5"/>
  <c r="K41" i="5"/>
  <c r="J40" i="5"/>
  <c r="I37" i="5"/>
  <c r="L43" i="5"/>
  <c r="K42" i="5"/>
  <c r="J41" i="5"/>
  <c r="I40" i="5"/>
  <c r="H37" i="5"/>
  <c r="K43" i="5"/>
  <c r="J42" i="5"/>
  <c r="I41" i="5"/>
  <c r="H40" i="5"/>
  <c r="N38" i="5" l="1"/>
  <c r="J138" i="2"/>
  <c r="J142" i="2" s="1"/>
  <c r="B41" i="14" s="1"/>
  <c r="F41" i="14" l="1"/>
  <c r="H142" i="2"/>
  <c r="N61" i="5"/>
  <c r="N60" i="5"/>
  <c r="N59" i="5"/>
  <c r="N58" i="5"/>
  <c r="N62" i="5" s="1"/>
  <c r="N57" i="5"/>
  <c r="N51" i="5"/>
  <c r="N50" i="5"/>
  <c r="N49" i="5"/>
  <c r="N48" i="5"/>
  <c r="N47" i="5"/>
  <c r="N31" i="5"/>
  <c r="N30" i="5"/>
  <c r="N29" i="5"/>
  <c r="N28" i="5"/>
  <c r="N25" i="5"/>
  <c r="N32" i="5" s="1"/>
  <c r="N12" i="5"/>
  <c r="N17" i="5"/>
  <c r="N11" i="5"/>
  <c r="N18" i="5" s="1"/>
  <c r="L34" i="14"/>
  <c r="K34" i="14"/>
  <c r="H29" i="14"/>
  <c r="K29" i="14" s="1"/>
  <c r="C28" i="14"/>
  <c r="I23" i="14"/>
  <c r="L23" i="14" s="1"/>
  <c r="N52" i="5" l="1"/>
  <c r="K11" i="14"/>
  <c r="Q11" i="14" s="1"/>
  <c r="Q57" i="14"/>
  <c r="J22" i="14"/>
  <c r="N22" i="14" s="1"/>
  <c r="I22" i="14"/>
  <c r="L22" i="14" s="1"/>
  <c r="H22" i="14"/>
  <c r="K22" i="14" s="1"/>
  <c r="I28" i="14"/>
  <c r="L28" i="14" s="1"/>
  <c r="I29" i="14"/>
  <c r="L29" i="14" s="1"/>
  <c r="J29" i="14"/>
  <c r="N29" i="14" s="1"/>
  <c r="N21" i="14"/>
  <c r="H23" i="14"/>
  <c r="K23" i="14" s="1"/>
  <c r="H28" i="14"/>
  <c r="K28" i="14" s="1"/>
  <c r="J28" i="14"/>
  <c r="N28" i="14" s="1"/>
  <c r="J30" i="14"/>
  <c r="N30" i="14" s="1"/>
  <c r="I30" i="14"/>
  <c r="L30" i="14" s="1"/>
  <c r="H30" i="14"/>
  <c r="K30" i="14" s="1"/>
  <c r="N26" i="14"/>
  <c r="J31" i="14"/>
  <c r="N31" i="14" s="1"/>
  <c r="I31" i="14"/>
  <c r="L31" i="14" s="1"/>
  <c r="H31" i="14"/>
  <c r="K31" i="14" s="1"/>
  <c r="K26" i="14"/>
  <c r="J23" i="14"/>
  <c r="N23" i="14" s="1"/>
  <c r="L26" i="14"/>
  <c r="J32" i="14"/>
  <c r="N32" i="14" s="1"/>
  <c r="I32" i="14"/>
  <c r="L32" i="14" s="1"/>
  <c r="H32" i="14"/>
  <c r="K32" i="14" s="1"/>
  <c r="H24" i="14"/>
  <c r="K24" i="14" s="1"/>
  <c r="H27" i="14"/>
  <c r="K27" i="14" s="1"/>
  <c r="I24" i="14"/>
  <c r="L24" i="14" s="1"/>
  <c r="I27" i="14"/>
  <c r="L27" i="14" s="1"/>
  <c r="J24" i="14"/>
  <c r="N24" i="14" s="1"/>
  <c r="J27" i="14"/>
  <c r="N27" i="14" s="1"/>
  <c r="M30" i="14" l="1"/>
  <c r="M32" i="14"/>
  <c r="M31" i="14"/>
  <c r="F2" i="12" l="1"/>
  <c r="B5" i="12" s="1"/>
  <c r="C49" i="12"/>
  <c r="D49" i="12"/>
  <c r="E49" i="12"/>
  <c r="F49" i="12"/>
  <c r="G49" i="12"/>
  <c r="H49" i="12"/>
  <c r="I49" i="12"/>
  <c r="J49" i="12"/>
  <c r="K49" i="12"/>
  <c r="L49" i="12"/>
  <c r="M49" i="12"/>
  <c r="B49" i="12"/>
  <c r="N49" i="12" l="1"/>
  <c r="I50" i="12" s="1"/>
  <c r="C52" i="12"/>
  <c r="D52" i="12"/>
  <c r="E52" i="12"/>
  <c r="J52" i="12"/>
  <c r="K52" i="12"/>
  <c r="L52" i="12"/>
  <c r="M52" i="12"/>
  <c r="N51" i="12"/>
  <c r="F52" i="12" s="1"/>
  <c r="N15" i="12"/>
  <c r="N14" i="12"/>
  <c r="N13" i="12"/>
  <c r="K5" i="14" l="1"/>
  <c r="C50" i="12"/>
  <c r="K50" i="12"/>
  <c r="L50" i="12"/>
  <c r="B50" i="12"/>
  <c r="M50" i="12"/>
  <c r="F50" i="12"/>
  <c r="J50" i="12"/>
  <c r="D50" i="12"/>
  <c r="E50" i="12"/>
  <c r="G50" i="12"/>
  <c r="H50" i="12"/>
  <c r="I52" i="12"/>
  <c r="H52" i="12"/>
  <c r="G52" i="12"/>
  <c r="B52" i="12"/>
  <c r="D15" i="12"/>
  <c r="B14" i="12"/>
  <c r="C14" i="12" s="1"/>
  <c r="D14" i="12" s="1"/>
  <c r="E14" i="12" s="1"/>
  <c r="F14" i="12" s="1"/>
  <c r="G14" i="12" s="1"/>
  <c r="H14" i="12" s="1"/>
  <c r="I14" i="12" s="1"/>
  <c r="J14" i="12" s="1"/>
  <c r="K14" i="12" s="1"/>
  <c r="L14" i="12" s="1"/>
  <c r="M14" i="12" s="1"/>
  <c r="N50" i="12" l="1"/>
  <c r="N52" i="12"/>
  <c r="H15" i="12"/>
  <c r="C15" i="12"/>
  <c r="M15" i="12"/>
  <c r="J15" i="12"/>
  <c r="G15" i="12"/>
  <c r="I15" i="12"/>
  <c r="K15" i="12"/>
  <c r="L15" i="12"/>
  <c r="B15" i="12"/>
  <c r="F15" i="12"/>
  <c r="E15" i="12"/>
  <c r="P14" i="12"/>
  <c r="P15" i="12" l="1"/>
  <c r="H34" i="5" l="1"/>
  <c r="F5" i="12"/>
  <c r="F17" i="12" s="1"/>
  <c r="N27" i="12"/>
  <c r="N28" i="12"/>
  <c r="N29" i="12"/>
  <c r="N30" i="12"/>
  <c r="N31" i="12"/>
  <c r="N32" i="12"/>
  <c r="N33" i="12"/>
  <c r="N34" i="12"/>
  <c r="N35" i="12"/>
  <c r="N36" i="12"/>
  <c r="N37" i="12"/>
  <c r="N38" i="12"/>
  <c r="N39" i="12"/>
  <c r="N40" i="12"/>
  <c r="N41" i="12"/>
  <c r="N42" i="12"/>
  <c r="N43" i="12"/>
  <c r="N44" i="12"/>
  <c r="N45" i="12"/>
  <c r="N46" i="12"/>
  <c r="N47" i="12"/>
  <c r="N26" i="12"/>
  <c r="M10" i="12"/>
  <c r="L10" i="12"/>
  <c r="K10" i="12"/>
  <c r="J10" i="12"/>
  <c r="I10" i="12"/>
  <c r="H10" i="12"/>
  <c r="G10" i="12"/>
  <c r="F10" i="12"/>
  <c r="E10" i="12"/>
  <c r="D10" i="12"/>
  <c r="C10" i="12"/>
  <c r="B10" i="12"/>
  <c r="N7" i="12"/>
  <c r="N6" i="12"/>
  <c r="G5" i="12" l="1"/>
  <c r="G17" i="12" s="1"/>
  <c r="H5" i="12"/>
  <c r="H17" i="12" s="1"/>
  <c r="I5" i="12"/>
  <c r="I17" i="12" s="1"/>
  <c r="J5" i="12"/>
  <c r="J17" i="12" s="1"/>
  <c r="C5" i="12"/>
  <c r="C17" i="12" s="1"/>
  <c r="K5" i="12"/>
  <c r="K17" i="12" s="1"/>
  <c r="B17" i="12"/>
  <c r="D5" i="12"/>
  <c r="D17" i="12" s="1"/>
  <c r="L5" i="12"/>
  <c r="L17" i="12" s="1"/>
  <c r="E5" i="12"/>
  <c r="E17" i="12" s="1"/>
  <c r="M5" i="12"/>
  <c r="M17" i="12" s="1"/>
  <c r="N5" i="12" l="1"/>
  <c r="N17" i="12"/>
  <c r="C13" i="12" l="1"/>
  <c r="F13" i="12"/>
  <c r="I13" i="12"/>
  <c r="J13" i="12"/>
  <c r="B13" i="12"/>
  <c r="G13" i="12"/>
  <c r="L13" i="12"/>
  <c r="H13" i="12"/>
  <c r="D13" i="12"/>
  <c r="K13" i="12"/>
  <c r="M13" i="12"/>
  <c r="E13" i="12"/>
  <c r="F24" i="10"/>
  <c r="F20" i="10"/>
  <c r="P13" i="12" l="1"/>
  <c r="F34" i="5" l="1"/>
  <c r="N37" i="5" l="1"/>
  <c r="K13" i="14"/>
  <c r="N40" i="5"/>
  <c r="Q13" i="14" l="1"/>
  <c r="N41" i="5"/>
  <c r="N43" i="5"/>
  <c r="N42" i="5"/>
  <c r="F23" i="10"/>
  <c r="F25" i="10" s="1"/>
  <c r="F14" i="10"/>
  <c r="C15" i="10" s="1"/>
  <c r="N44" i="5" l="1"/>
  <c r="E26" i="10"/>
  <c r="W33" i="14" s="1"/>
  <c r="D15" i="10"/>
  <c r="V33" i="14" s="1"/>
  <c r="N12" i="12"/>
  <c r="J20" i="14" l="1"/>
  <c r="N20" i="14" s="1"/>
  <c r="J46" i="14"/>
  <c r="N46" i="14" s="1"/>
  <c r="J25" i="14"/>
  <c r="N25" i="14" s="1"/>
  <c r="J41" i="14"/>
  <c r="N41" i="14" s="1"/>
  <c r="I20" i="14"/>
  <c r="L20" i="14" s="1"/>
  <c r="I46" i="14"/>
  <c r="L46" i="14" s="1"/>
  <c r="I25" i="14"/>
  <c r="L25" i="14" s="1"/>
  <c r="I41" i="14"/>
  <c r="L41" i="14" s="1"/>
  <c r="E15" i="10"/>
  <c r="U33" i="14"/>
  <c r="H41" i="14" s="1"/>
  <c r="E12" i="12"/>
  <c r="M12" i="12"/>
  <c r="C12" i="12"/>
  <c r="I12" i="12"/>
  <c r="F12" i="12"/>
  <c r="J12" i="12"/>
  <c r="B12" i="12"/>
  <c r="G12" i="12"/>
  <c r="K12" i="12"/>
  <c r="H12" i="12"/>
  <c r="D12" i="12"/>
  <c r="L12" i="12"/>
  <c r="H20" i="14" l="1"/>
  <c r="K20" i="14" s="1"/>
  <c r="H25" i="14"/>
  <c r="K25" i="14" s="1"/>
  <c r="M25" i="14" s="1"/>
  <c r="H54" i="14"/>
  <c r="K54" i="14" s="1"/>
  <c r="K41" i="14"/>
  <c r="H46" i="14"/>
  <c r="N56" i="14"/>
  <c r="L54" i="14"/>
  <c r="N35" i="14"/>
  <c r="L33" i="14"/>
  <c r="K33" i="14"/>
  <c r="P12" i="12"/>
  <c r="K4" i="14"/>
  <c r="K46" i="14" l="1"/>
  <c r="M46" i="14" s="1"/>
  <c r="K3" i="14"/>
  <c r="L3" i="14"/>
  <c r="M41" i="14"/>
  <c r="L56" i="14"/>
  <c r="L35" i="14"/>
  <c r="K35" i="14"/>
  <c r="M20" i="14"/>
  <c r="N11" i="12"/>
  <c r="D11" i="12" s="1"/>
  <c r="K56" i="14" l="1"/>
  <c r="M3" i="14"/>
  <c r="Q3" i="14" s="1"/>
  <c r="M56" i="14"/>
  <c r="M35" i="14"/>
  <c r="G11" i="12"/>
  <c r="G16" i="12" s="1"/>
  <c r="F11" i="12"/>
  <c r="F16" i="12" s="1"/>
  <c r="K11" i="12"/>
  <c r="K16" i="12" s="1"/>
  <c r="E11" i="12"/>
  <c r="E16" i="12" s="1"/>
  <c r="J11" i="12"/>
  <c r="J16" i="12" s="1"/>
  <c r="I11" i="12"/>
  <c r="I16" i="12" s="1"/>
  <c r="H11" i="12"/>
  <c r="H16" i="12" s="1"/>
  <c r="M11" i="12"/>
  <c r="M16" i="12" s="1"/>
  <c r="L11" i="12"/>
  <c r="L16" i="12" s="1"/>
  <c r="B11" i="12"/>
  <c r="C11" i="12"/>
  <c r="C16" i="12" s="1"/>
  <c r="D16" i="12"/>
  <c r="D5" i="15" l="1"/>
  <c r="D7" i="15"/>
  <c r="D6" i="15"/>
  <c r="G18" i="12"/>
  <c r="G19" i="12" s="1"/>
  <c r="G20" i="12"/>
  <c r="K18" i="12"/>
  <c r="K19" i="12" s="1"/>
  <c r="K20" i="12"/>
  <c r="F18" i="12"/>
  <c r="F19" i="12" s="1"/>
  <c r="F20" i="12"/>
  <c r="P11" i="12"/>
  <c r="B16" i="12"/>
  <c r="L20" i="12"/>
  <c r="L18" i="12"/>
  <c r="L19" i="12" s="1"/>
  <c r="C20" i="12"/>
  <c r="C18" i="12"/>
  <c r="C19" i="12" s="1"/>
  <c r="D18" i="12"/>
  <c r="D19" i="12" s="1"/>
  <c r="D20" i="12"/>
  <c r="M18" i="12"/>
  <c r="M19" i="12" s="1"/>
  <c r="M20" i="12"/>
  <c r="H18" i="12"/>
  <c r="H19" i="12" s="1"/>
  <c r="H20" i="12"/>
  <c r="J18" i="12"/>
  <c r="J19" i="12" s="1"/>
  <c r="J20" i="12"/>
  <c r="I18" i="12"/>
  <c r="I19" i="12" s="1"/>
  <c r="I20" i="12"/>
  <c r="E20" i="12"/>
  <c r="E18" i="12"/>
  <c r="E19" i="12" s="1"/>
  <c r="B20" i="12" l="1"/>
  <c r="N20" i="12" s="1"/>
  <c r="B18" i="12"/>
  <c r="N16" i="12"/>
  <c r="B19" i="12" l="1"/>
  <c r="N19" i="12" s="1"/>
  <c r="N18" i="12"/>
</calcChain>
</file>

<file path=xl/sharedStrings.xml><?xml version="1.0" encoding="utf-8"?>
<sst xmlns="http://schemas.openxmlformats.org/spreadsheetml/2006/main" count="1055" uniqueCount="411">
  <si>
    <t>Projekta iesnieguma energoefektivitātes rādītāji</t>
  </si>
  <si>
    <t>Ēkas adrese:</t>
  </si>
  <si>
    <t>izvēlnes šūnas</t>
  </si>
  <si>
    <t>Ēkas kadastra apzīmējums</t>
  </si>
  <si>
    <t>šūnas, kuras jāaizpilda, ja attiecināms</t>
  </si>
  <si>
    <t>Ēkas references platība</t>
  </si>
  <si>
    <r>
      <t>m</t>
    </r>
    <r>
      <rPr>
        <vertAlign val="superscript"/>
        <sz val="12"/>
        <color theme="1"/>
        <rFont val="Times New Roman"/>
        <family val="1"/>
      </rPr>
      <t>2</t>
    </r>
  </si>
  <si>
    <t>1. Energoresursu patēriņa uzskaite*</t>
  </si>
  <si>
    <t>*Atbilstoši MK noteikumi Nr.222 "Ēku energoefektivitātes aprēķina metodes un ēku energosertifikācijas noteikumi" 5.2.punkta prasībām</t>
  </si>
  <si>
    <t>1.1.</t>
  </si>
  <si>
    <t>Siltumenerģijas faktiskais patēriņš, ja ēkā ir atbilstoša siltumenerģijas uzskaite*, MWh</t>
  </si>
  <si>
    <t>Gads</t>
  </si>
  <si>
    <t>janv</t>
  </si>
  <si>
    <t>febr</t>
  </si>
  <si>
    <t>marts</t>
  </si>
  <si>
    <t>apr</t>
  </si>
  <si>
    <t>maijs</t>
  </si>
  <si>
    <t>jūn</t>
  </si>
  <si>
    <t>jūl</t>
  </si>
  <si>
    <t>aug</t>
  </si>
  <si>
    <t>sept</t>
  </si>
  <si>
    <t>okt</t>
  </si>
  <si>
    <t>nov</t>
  </si>
  <si>
    <t>dec</t>
  </si>
  <si>
    <t>Kopā</t>
  </si>
  <si>
    <t>*Datus par faktisko patēriņu jāiegūst no siltumenerģijas piegādātāja izrakstītajiem rēķiniem</t>
  </si>
  <si>
    <t>Vidēji gadā:</t>
  </si>
  <si>
    <t>1.2.</t>
  </si>
  <si>
    <t>Kurināmā faktiskais patēriņš piegādātajās mērvienībās*</t>
  </si>
  <si>
    <t>Kurināmā veids,</t>
  </si>
  <si>
    <t>Kurināmā zemākā siltumspēja</t>
  </si>
  <si>
    <t>Siltumģeneratora vidējais lietderības koeficients, kas noteikts pēc kurināmā zemākās siltumspējas</t>
  </si>
  <si>
    <t>/ siltumsūkņa SCOP</t>
  </si>
  <si>
    <t>Patēriņš uzskaitītajās mērvienībās</t>
  </si>
  <si>
    <r>
      <t>(piem.., kg, m</t>
    </r>
    <r>
      <rPr>
        <vertAlign val="superscript"/>
        <sz val="10"/>
        <rFont val="Times New Roman"/>
        <family val="1"/>
        <charset val="186"/>
      </rPr>
      <t>3</t>
    </r>
    <r>
      <rPr>
        <sz val="10"/>
        <rFont val="Times New Roman"/>
        <family val="1"/>
        <charset val="186"/>
      </rPr>
      <t>, l)</t>
    </r>
  </si>
  <si>
    <t>*Datus par faktisko patēriņu jāiegūst no kurināmā piegādātāja izrakstītajiem rēķiniem</t>
  </si>
  <si>
    <t>Konversijas koeficients no</t>
  </si>
  <si>
    <t>uz</t>
  </si>
  <si>
    <t>1.3.</t>
  </si>
  <si>
    <t>Kurināmais, pārrēķināts siltumenerģijā, MWh</t>
  </si>
  <si>
    <t>Kurināmais</t>
  </si>
  <si>
    <t>zemākā siltumspēja</t>
  </si>
  <si>
    <t>Dīzeļdegviela</t>
  </si>
  <si>
    <t>kWh/kg</t>
  </si>
  <si>
    <t>kg</t>
  </si>
  <si>
    <t>Mazuts</t>
  </si>
  <si>
    <t>Sašķidrinātā naftas gāze</t>
  </si>
  <si>
    <t>Naftas kokss</t>
  </si>
  <si>
    <t>Ogles</t>
  </si>
  <si>
    <t>Kūdra</t>
  </si>
  <si>
    <t>1.4.</t>
  </si>
  <si>
    <t>Elektroenerģijas faktiskais patēriņš, ja ēkā ir atbilstoša elektroenerģijas uzskaite*, MWh</t>
  </si>
  <si>
    <t>Malka</t>
  </si>
  <si>
    <t>kWh/cieš.m3</t>
  </si>
  <si>
    <t>cieš.m3</t>
  </si>
  <si>
    <t>Koksnes atlikumi</t>
  </si>
  <si>
    <t>kWh/ber.m3</t>
  </si>
  <si>
    <t>ber.m3</t>
  </si>
  <si>
    <t>Kurināma šķelda</t>
  </si>
  <si>
    <t>Koksnes briketes</t>
  </si>
  <si>
    <t>Koksnes granulas</t>
  </si>
  <si>
    <t>Dabasgāze</t>
  </si>
  <si>
    <t>kWh/m3</t>
  </si>
  <si>
    <t>m3</t>
  </si>
  <si>
    <t>Biodīzeļdegviela</t>
  </si>
  <si>
    <t>*Datus par faktisko patēriņu jāiegūst no elektroenerģijas piegādātāja izrakstītajiem rēķiniem</t>
  </si>
  <si>
    <t>Bioetalons</t>
  </si>
  <si>
    <t>1.5.</t>
  </si>
  <si>
    <t>Cita atsevišķi uzskaitītā enerģija t.sk. no atjaunīgajiem energoresursiem (AER) saražotā enerģija, MWh</t>
  </si>
  <si>
    <t>Elektroenerģija, PV</t>
  </si>
  <si>
    <t>(energopakalpojuma nosaukums)</t>
  </si>
  <si>
    <t>Elektroenerģija no tīkla</t>
  </si>
  <si>
    <t>1.6.</t>
  </si>
  <si>
    <r>
      <t>Sadzīves karstā ūdens patēriņš, m</t>
    </r>
    <r>
      <rPr>
        <b/>
        <vertAlign val="superscript"/>
        <sz val="11"/>
        <color theme="1"/>
        <rFont val="Times New Roman"/>
        <family val="1"/>
      </rPr>
      <t>3</t>
    </r>
  </si>
  <si>
    <r>
      <t xml:space="preserve">2. Aprēķinātie energoefektivitātes rādītāji periodā, izņemot apkuri </t>
    </r>
    <r>
      <rPr>
        <b/>
        <i/>
        <sz val="16"/>
        <rFont val="Times New Roman"/>
        <family val="1"/>
        <charset val="186"/>
      </rPr>
      <t>(esošā situācija)</t>
    </r>
    <r>
      <rPr>
        <b/>
        <sz val="16"/>
        <rFont val="Times New Roman"/>
        <family val="1"/>
        <charset val="186"/>
      </rPr>
      <t xml:space="preserve">
</t>
    </r>
    <r>
      <rPr>
        <sz val="12"/>
        <color theme="1"/>
        <rFont val="Times New Roman"/>
        <family val="1"/>
      </rPr>
      <t>2.sadaļa satur 2 lapaspuses</t>
    </r>
  </si>
  <si>
    <t>2.1.</t>
  </si>
  <si>
    <t>Siltumenerģijas zudumi apkurei ārpus aprēķina zonas un papildus elektroenerģija apkurei</t>
  </si>
  <si>
    <t>2.1.1.</t>
  </si>
  <si>
    <t>Siltumenerģijas zudumi cauruļvados un uzglabāšanas tvertnē ārpus aprēķina zonas*</t>
  </si>
  <si>
    <t>Nr.
p.k.</t>
  </si>
  <si>
    <t>Cauruļvadu garums</t>
  </si>
  <si>
    <t>Vidējie siltumenerģijas zudumi  cauruļvados</t>
  </si>
  <si>
    <t>Enerģijas zudumi cauruļvados</t>
  </si>
  <si>
    <t xml:space="preserve"> Tvertnes tilpums</t>
  </si>
  <si>
    <t>Enerģijas zudumi gaidīšanas režīmā</t>
  </si>
  <si>
    <t>Siltuma zudumi apkurei ārpus aprēķina zonām*</t>
  </si>
  <si>
    <t>m</t>
  </si>
  <si>
    <t>W/m</t>
  </si>
  <si>
    <t>kWh gadā</t>
  </si>
  <si>
    <t>litri</t>
  </si>
  <si>
    <t>Nē</t>
  </si>
  <si>
    <t>*Projekta iesniegumam pievienots atsevišķs siltumenerģijas zudumu novērtējums ārpus aprēķina zonas</t>
  </si>
  <si>
    <t>2.1.2.</t>
  </si>
  <si>
    <t>Papildus enerģija apkurei un sadzīves karstā ūdens energopakalpojumam (elektroenerģija)</t>
  </si>
  <si>
    <t>Iekārtas nosaukums un modelis</t>
  </si>
  <si>
    <t>Energopakalpojums</t>
  </si>
  <si>
    <t>Uzstādītā jauda</t>
  </si>
  <si>
    <t>Vidējā svērtā jauda</t>
  </si>
  <si>
    <t>Darbības periods</t>
  </si>
  <si>
    <t>Papildus enerģija apkurei*</t>
  </si>
  <si>
    <t>W</t>
  </si>
  <si>
    <t>h gadā</t>
  </si>
  <si>
    <t>apkure</t>
  </si>
  <si>
    <t>Papildus enerģija apkures energopakalpojumam kopā</t>
  </si>
  <si>
    <t>sadzīves karstais ūdens</t>
  </si>
  <si>
    <t>Papildus enerģija sadzīves karstā ūdens energopakalpojumam kopā</t>
  </si>
  <si>
    <t>*Projekta iesniegumam pievienots atsevišķs papildus enerģijas patēriņa novērtējums</t>
  </si>
  <si>
    <t>Biroju telpas</t>
  </si>
  <si>
    <t>2.2.</t>
  </si>
  <si>
    <t>Enerģijas novērtējums sadzīves karstā ūdens (SKŪ) energopakalpojuma nodrošināšanai</t>
  </si>
  <si>
    <t>Slimnīcas palāta</t>
  </si>
  <si>
    <t>Lietojuma tips</t>
  </si>
  <si>
    <t>Atsauces laukums</t>
  </si>
  <si>
    <t>Enerģija uzsildīšanai</t>
  </si>
  <si>
    <t>SKŪ uzglabāšanas tilpums</t>
  </si>
  <si>
    <t>Zudumi gaidīšanas režīmā</t>
  </si>
  <si>
    <t>Zudumi piegādes cauruļvados</t>
  </si>
  <si>
    <t>SKŪ energoprasība*</t>
  </si>
  <si>
    <t>Skolas bez dušas telpām</t>
  </si>
  <si>
    <r>
      <t>m</t>
    </r>
    <r>
      <rPr>
        <vertAlign val="superscript"/>
        <sz val="8"/>
        <color theme="1"/>
        <rFont val="Times New Roman"/>
        <family val="1"/>
      </rPr>
      <t>2</t>
    </r>
    <r>
      <rPr>
        <sz val="8"/>
        <color theme="1"/>
        <rFont val="Times New Roman"/>
        <family val="1"/>
      </rPr>
      <t xml:space="preserve"> </t>
    </r>
  </si>
  <si>
    <r>
      <t>Wh/(m</t>
    </r>
    <r>
      <rPr>
        <vertAlign val="superscript"/>
        <sz val="8"/>
        <color theme="1"/>
        <rFont val="Times New Roman"/>
        <family val="1"/>
      </rPr>
      <t>2</t>
    </r>
    <r>
      <rPr>
        <sz val="8"/>
        <color theme="1"/>
        <rFont val="Times New Roman"/>
        <family val="1"/>
      </rPr>
      <t xml:space="preserve"> dienā)</t>
    </r>
  </si>
  <si>
    <t>Skola ar dušas telpām</t>
  </si>
  <si>
    <t>Mazumtirdzniecības veikals</t>
  </si>
  <si>
    <t>1</t>
  </si>
  <si>
    <t>Darbnīca / ražošanas telpas</t>
  </si>
  <si>
    <t>2</t>
  </si>
  <si>
    <t>Vienkārša viesnīca</t>
  </si>
  <si>
    <t>3</t>
  </si>
  <si>
    <t>Vidējas klases viesnīca</t>
  </si>
  <si>
    <t>*Projekta iesniegumam pievienots atsevišķs novērtējums atbilstoši MK noteikumu Nr.222, 15.punkta prasībām</t>
  </si>
  <si>
    <t>Luksus klases viesnīca</t>
  </si>
  <si>
    <t>2.3.</t>
  </si>
  <si>
    <t>Ventilācijas energoefektivitātes rādītāji</t>
  </si>
  <si>
    <t>Restorāns/krogs/bārs</t>
  </si>
  <si>
    <t>Ražība</t>
  </si>
  <si>
    <t>Vidējā iekārtas ražība</t>
  </si>
  <si>
    <t>Energoprasība ventilācijai*</t>
  </si>
  <si>
    <t>Aprūpes nams veciem ļaudīm</t>
  </si>
  <si>
    <t>kW</t>
  </si>
  <si>
    <r>
      <t>m</t>
    </r>
    <r>
      <rPr>
        <vertAlign val="superscript"/>
        <sz val="9"/>
        <color theme="1"/>
        <rFont val="Times New Roman"/>
        <family val="1"/>
      </rPr>
      <t>3</t>
    </r>
    <r>
      <rPr>
        <sz val="9"/>
        <color theme="1"/>
        <rFont val="Times New Roman"/>
        <family val="1"/>
      </rPr>
      <t>/h</t>
    </r>
  </si>
  <si>
    <r>
      <t>W/m</t>
    </r>
    <r>
      <rPr>
        <vertAlign val="superscript"/>
        <sz val="9"/>
        <color theme="1"/>
        <rFont val="Times New Roman"/>
        <family val="1"/>
      </rPr>
      <t>3</t>
    </r>
  </si>
  <si>
    <t>Kazarmas</t>
  </si>
  <si>
    <t>4</t>
  </si>
  <si>
    <t>Energoprasība ventilācijai, kopā</t>
  </si>
  <si>
    <t>*Projekta iesniegumam pievienots atsevišķs elektroenerģijas patēriņa novērtējums ventilācijai</t>
  </si>
  <si>
    <t>2.4.</t>
  </si>
  <si>
    <t>Apgaismojuma energoefektivitātes rādītāji</t>
  </si>
  <si>
    <t>Telpu grupa</t>
  </si>
  <si>
    <t>Platība</t>
  </si>
  <si>
    <t>Spuldzes jauda</t>
  </si>
  <si>
    <t>Spuldžu skaits</t>
  </si>
  <si>
    <t>Samazinājuma faktors</t>
  </si>
  <si>
    <t>Energoprasība apgaismojumam*</t>
  </si>
  <si>
    <r>
      <t>m</t>
    </r>
    <r>
      <rPr>
        <vertAlign val="superscript"/>
        <sz val="9"/>
        <color theme="1"/>
        <rFont val="Times New Roman"/>
        <family val="1"/>
      </rPr>
      <t>2</t>
    </r>
  </si>
  <si>
    <t>gab</t>
  </si>
  <si>
    <r>
      <t>W/m</t>
    </r>
    <r>
      <rPr>
        <vertAlign val="superscript"/>
        <sz val="9"/>
        <color theme="1"/>
        <rFont val="Times New Roman"/>
        <family val="1"/>
      </rPr>
      <t>2</t>
    </r>
  </si>
  <si>
    <t>Energoprasība apgaismojumam, kopā</t>
  </si>
  <si>
    <t>*Projekta iesniegumam pievienots atsevišķs novērtējums atbilstoši  MK noteikumu Nr.222, 16.punkta prasībām</t>
  </si>
  <si>
    <t>2.5.</t>
  </si>
  <si>
    <t>Dzesēšanas energoefektivitātes rādītāji</t>
  </si>
  <si>
    <t>Iekārtas nosaukums un modelis*</t>
  </si>
  <si>
    <t>Elektriskā jauda</t>
  </si>
  <si>
    <t>Elektroenerģijas patēriņš dzesēšanai*</t>
  </si>
  <si>
    <t>Energoprasība dzesēšanai, kopā</t>
  </si>
  <si>
    <t>*Projekta iesniegumam pievienots atsevišķs novērtējums atbilstoši MK noteikumu Nr.222, 12.punkta prasībām</t>
  </si>
  <si>
    <r>
      <t xml:space="preserve">3. Aprēķinātie energoefektivitātes rādītāji periodā apkures energopakalpojumam </t>
    </r>
    <r>
      <rPr>
        <b/>
        <i/>
        <sz val="16"/>
        <rFont val="Times New Roman"/>
        <family val="1"/>
        <charset val="186"/>
      </rPr>
      <t>(prognoze)</t>
    </r>
    <r>
      <rPr>
        <b/>
        <sz val="16"/>
        <rFont val="Times New Roman"/>
        <family val="1"/>
        <charset val="186"/>
      </rPr>
      <t xml:space="preserve">
</t>
    </r>
    <r>
      <rPr>
        <sz val="12"/>
        <color theme="1"/>
        <rFont val="Times New Roman"/>
        <family val="1"/>
      </rPr>
      <t>3.sadaļa satur 5 lapaspuses</t>
    </r>
  </si>
  <si>
    <t>!!!</t>
  </si>
  <si>
    <t>Projekta iesnieguma ēkai / ēkām BIS ir reģistrēts Ēkas pagaidu energosertifikāts (-i)</t>
  </si>
  <si>
    <t>3.sadaļa nav jāaizpilda</t>
  </si>
  <si>
    <t>3.1. Siltuma pārnese ar pārvadi</t>
  </si>
  <si>
    <t>1. ZONA / ĒKA</t>
  </si>
  <si>
    <t>Norobežojošā konstrukcija</t>
  </si>
  <si>
    <t>Laukums</t>
  </si>
  <si>
    <r>
      <t>Būvelementa siltuma caurlaidības koeficients
(U</t>
    </r>
    <r>
      <rPr>
        <sz val="9"/>
        <rFont val="Arial"/>
        <family val="2"/>
        <charset val="186"/>
      </rPr>
      <t>)</t>
    </r>
  </si>
  <si>
    <t>Termiskā tilta garums</t>
  </si>
  <si>
    <r>
      <t>Ar būvkonstrukciju saistīto termisko tiltu siltuma caurlaidības koeficients</t>
    </r>
    <r>
      <rPr>
        <sz val="9"/>
        <rFont val="Arial"/>
        <family val="2"/>
        <charset val="186"/>
      </rPr>
      <t xml:space="preserve"> </t>
    </r>
    <r>
      <rPr>
        <sz val="9"/>
        <rFont val="Times New Roman"/>
        <family val="1"/>
        <charset val="186"/>
      </rPr>
      <t>(ψ)</t>
    </r>
  </si>
  <si>
    <t>Būvkonstrukciju siltuma zudumu koeficients</t>
  </si>
  <si>
    <t>Aprēķina perioda ilgums</t>
  </si>
  <si>
    <t>Temperatūru starpība starp būvkonstrukcijas siltajām un aukstajām pusēm</t>
  </si>
  <si>
    <t>Kompensējamais enerģijas patēriņš</t>
  </si>
  <si>
    <r>
      <t>m</t>
    </r>
    <r>
      <rPr>
        <vertAlign val="superscript"/>
        <sz val="9"/>
        <rFont val="Times New Roman"/>
        <family val="1"/>
        <charset val="186"/>
      </rPr>
      <t>2</t>
    </r>
  </si>
  <si>
    <r>
      <t>W/(m</t>
    </r>
    <r>
      <rPr>
        <vertAlign val="superscript"/>
        <sz val="9"/>
        <rFont val="Times New Roman"/>
        <family val="1"/>
        <charset val="186"/>
      </rPr>
      <t>2</t>
    </r>
    <r>
      <rPr>
        <sz val="9"/>
        <rFont val="Times New Roman"/>
        <family val="1"/>
        <charset val="186"/>
      </rPr>
      <t>K)</t>
    </r>
  </si>
  <si>
    <t>m, gab</t>
  </si>
  <si>
    <t>W/(mK)</t>
  </si>
  <si>
    <t>W/K</t>
  </si>
  <si>
    <t>h</t>
  </si>
  <si>
    <t>K</t>
  </si>
  <si>
    <t>kWh</t>
  </si>
  <si>
    <t>Ārsiena</t>
  </si>
  <si>
    <t>Tips 1</t>
  </si>
  <si>
    <t>Tips 2</t>
  </si>
  <si>
    <t>Tips 3</t>
  </si>
  <si>
    <t>Tips 4</t>
  </si>
  <si>
    <t>Tips 5</t>
  </si>
  <si>
    <t>Tips 6</t>
  </si>
  <si>
    <t>Tips 7</t>
  </si>
  <si>
    <t>Tips 8</t>
  </si>
  <si>
    <t>Tips 9</t>
  </si>
  <si>
    <t>Tips 10</t>
  </si>
  <si>
    <t>Bēniņi</t>
  </si>
  <si>
    <t>Grīda</t>
  </si>
  <si>
    <t>Logi</t>
  </si>
  <si>
    <t>5</t>
  </si>
  <si>
    <t>Durvis/vārti</t>
  </si>
  <si>
    <t xml:space="preserve">Kopā 1.ZONA / ĒKA </t>
  </si>
  <si>
    <t>2.ZONA / ĒKA</t>
  </si>
  <si>
    <t xml:space="preserve">Kopā 2.ZONA / ĒKA </t>
  </si>
  <si>
    <t>...ZONA / ĒKA</t>
  </si>
  <si>
    <t>Kopā ...ZONA / ĒKA</t>
  </si>
  <si>
    <t>Kopējā siltuma pārnese ar pārvadi apkurei, kWh gadā</t>
  </si>
  <si>
    <t>Piezīme. Aprēķina saskaņā ar Ministru kabineta 2019. gada 25. jūnija noteikumiem Nr. 280 "Noteikumi par Latvijas būvnormatīvu LBN 002-19 "Ēku norobežojošo konstrukciju siltumtehnika"".</t>
  </si>
  <si>
    <t>3.2. Aprēķina parametri un siltuma pārnese ar ventilāciju</t>
  </si>
  <si>
    <t>Nr. p. k.</t>
  </si>
  <si>
    <t>Zonas apzīmējums 
(un nosaukums)</t>
  </si>
  <si>
    <t xml:space="preserve">Ventilācijas veids </t>
  </si>
  <si>
    <t>Aprēķina tilpums</t>
  </si>
  <si>
    <t>Vidējā gaisa apmaiņas intensitāte periodā</t>
  </si>
  <si>
    <t>Darbības ilgums periodā</t>
  </si>
  <si>
    <t>Ventilācijas siltuma zudumu koeficients*</t>
  </si>
  <si>
    <t>Enerģijas atgūšanas vidējais rādītājs periodā</t>
  </si>
  <si>
    <t>Piegādātā gaisa temperatūras starpība</t>
  </si>
  <si>
    <t>Siltuma pārnese ar ventilāciju</t>
  </si>
  <si>
    <r>
      <t>m</t>
    </r>
    <r>
      <rPr>
        <vertAlign val="superscript"/>
        <sz val="10"/>
        <rFont val="Times New Roman"/>
        <family val="1"/>
        <charset val="186"/>
      </rPr>
      <t>3</t>
    </r>
  </si>
  <si>
    <t>1/h</t>
  </si>
  <si>
    <t>%</t>
  </si>
  <si>
    <t>Dabiskā</t>
  </si>
  <si>
    <t>Mehāniskā</t>
  </si>
  <si>
    <t>Infiltrācija</t>
  </si>
  <si>
    <t>2. ZONA / ĒKA</t>
  </si>
  <si>
    <t>Kopējā siltuma pārnese ar ventilāciju apkurei, kWh gadā</t>
  </si>
  <si>
    <t>3.3.</t>
  </si>
  <si>
    <t>Aprēķinātie siltuma ieguvumi ēkā aprēķina periodā</t>
  </si>
  <si>
    <t>3.3.1.</t>
  </si>
  <si>
    <t>Saules siltuma ieguvumi</t>
  </si>
  <si>
    <t>Nr.p.k.</t>
  </si>
  <si>
    <t>Debespuse</t>
  </si>
  <si>
    <t>Stiklojuma 
g-vērtība</t>
  </si>
  <si>
    <t>Kopējais samazinājuma faktors</t>
  </si>
  <si>
    <t>Starojuma intensitāte</t>
  </si>
  <si>
    <t>Ieguvumi periodā</t>
  </si>
  <si>
    <r>
      <t>kWh/m</t>
    </r>
    <r>
      <rPr>
        <vertAlign val="superscript"/>
        <sz val="9"/>
        <rFont val="Times New Roman"/>
        <family val="1"/>
        <charset val="186"/>
      </rPr>
      <t>2</t>
    </r>
  </si>
  <si>
    <t>Ziemeļi</t>
  </si>
  <si>
    <t>Austrumi</t>
  </si>
  <si>
    <t>Dienvidi</t>
  </si>
  <si>
    <t>Rietumi</t>
  </si>
  <si>
    <t>Horizontāli</t>
  </si>
  <si>
    <t>Necaurspīdīgās virsmas</t>
  </si>
  <si>
    <t>2. ZONA /ĒKA</t>
  </si>
  <si>
    <t>... ZONA / ĒKA</t>
  </si>
  <si>
    <t>3.3.2.</t>
  </si>
  <si>
    <t>Iekšējie un kopējie siltuma ieguvumi</t>
  </si>
  <si>
    <t>Iekšējā īpatnējā siltuma jauda</t>
  </si>
  <si>
    <t>Iekšējie siltuma ieguvumi</t>
  </si>
  <si>
    <t>Siltuma ieguvumu izmantošanas faktors</t>
  </si>
  <si>
    <t>Siltuma ieguvumi periodā</t>
  </si>
  <si>
    <r>
      <t>W/m</t>
    </r>
    <r>
      <rPr>
        <vertAlign val="superscript"/>
        <sz val="9"/>
        <rFont val="Times New Roman"/>
        <family val="1"/>
      </rPr>
      <t>2</t>
    </r>
  </si>
  <si>
    <t>Kopējie siltuma ieguvumi apkurei, kWh gadā</t>
  </si>
  <si>
    <t xml:space="preserve"> </t>
  </si>
  <si>
    <r>
      <t>kWh/</t>
    </r>
    <r>
      <rPr>
        <b/>
        <vertAlign val="superscript"/>
        <sz val="8"/>
        <rFont val="Times New Roman"/>
        <family val="1"/>
        <charset val="186"/>
      </rPr>
      <t xml:space="preserve">2 </t>
    </r>
    <r>
      <rPr>
        <b/>
        <sz val="8"/>
        <rFont val="Times New Roman"/>
        <family val="1"/>
        <charset val="186"/>
      </rPr>
      <t>gadā</t>
    </r>
  </si>
  <si>
    <t>Gada energoprasība apkurei (prognoze):</t>
  </si>
  <si>
    <r>
      <t xml:space="preserve">4. Aprēķinātie energoefektivitātes rādītāji periodā, izņemot apkuri </t>
    </r>
    <r>
      <rPr>
        <b/>
        <i/>
        <sz val="16"/>
        <rFont val="Times New Roman"/>
        <family val="1"/>
        <charset val="186"/>
      </rPr>
      <t>(prognoze)</t>
    </r>
    <r>
      <rPr>
        <b/>
        <sz val="16"/>
        <rFont val="Times New Roman"/>
        <family val="1"/>
        <charset val="186"/>
      </rPr>
      <t xml:space="preserve">
</t>
    </r>
    <r>
      <rPr>
        <sz val="12"/>
        <color theme="1"/>
        <rFont val="Times New Roman"/>
        <family val="1"/>
      </rPr>
      <t>4.sadaļa satur 2 lapaspuses</t>
    </r>
  </si>
  <si>
    <t>4.1.</t>
  </si>
  <si>
    <t>4.1.1.</t>
  </si>
  <si>
    <t>4.1.2.</t>
  </si>
  <si>
    <t>4.2.</t>
  </si>
  <si>
    <t>4.3.</t>
  </si>
  <si>
    <t>4.4.</t>
  </si>
  <si>
    <t>4.5.</t>
  </si>
  <si>
    <r>
      <t xml:space="preserve">5. Siltumenerģija no centralizētās siltumapgādes sistēmas (CSA)
</t>
    </r>
    <r>
      <rPr>
        <u/>
        <sz val="12"/>
        <rFont val="Times New Roman"/>
        <family val="1"/>
      </rPr>
      <t>CSA gadījumā obligāti norāda dati no konkrēta piegādātāja</t>
    </r>
  </si>
  <si>
    <t>Saskaņā ar MK noteikumiem Nr. 222, CSA operators veic uzņēmuma primārās enerģijas un oglekļa dioksīda (CO2) emisiju novērtēšanu un svēruma faktoru vērtības piegādātajai enerģijai norādītas mājaslapā</t>
  </si>
  <si>
    <t>Nav norādīts</t>
  </si>
  <si>
    <r>
      <rPr>
        <b/>
        <sz val="11"/>
        <color theme="0"/>
        <rFont val="Times New Roman"/>
        <family val="1"/>
        <charset val="186"/>
      </rPr>
      <t xml:space="preserve">Jāiesniedz CSA operatora izziņa par saražotās siltumenerģijas apjomu un veidu </t>
    </r>
    <r>
      <rPr>
        <sz val="11"/>
        <color theme="0"/>
        <rFont val="Times New Roman"/>
        <family val="1"/>
        <charset val="186"/>
      </rPr>
      <t xml:space="preserve">
(vismaz par vienu pilnu kalendāro gadu kopš 2021.gada)</t>
    </r>
  </si>
  <si>
    <t>5.1. Aprēķinātais primārās enerģijas faktors</t>
  </si>
  <si>
    <t>CSA ražošanas veids</t>
  </si>
  <si>
    <r>
      <t>f</t>
    </r>
    <r>
      <rPr>
        <vertAlign val="subscript"/>
        <sz val="11"/>
        <rFont val="Times New Roman"/>
        <family val="1"/>
        <charset val="186"/>
      </rPr>
      <t>Pnren</t>
    </r>
  </si>
  <si>
    <r>
      <t>f</t>
    </r>
    <r>
      <rPr>
        <vertAlign val="subscript"/>
        <sz val="11"/>
        <rFont val="Times New Roman"/>
        <family val="1"/>
        <charset val="186"/>
      </rPr>
      <t>Pren</t>
    </r>
  </si>
  <si>
    <r>
      <t>f</t>
    </r>
    <r>
      <rPr>
        <vertAlign val="subscript"/>
        <sz val="11"/>
        <rFont val="Times New Roman"/>
        <family val="1"/>
        <charset val="186"/>
      </rPr>
      <t>Ptot</t>
    </r>
  </si>
  <si>
    <t>CSA operatora saražotais siltumenerģijas apjoms,
 MWh gadā</t>
  </si>
  <si>
    <t>Siltumenerģija no centralizētās siltumapgādes sistēmas, saražota no fosilajiem kurināmiem bez koģenerācijas</t>
  </si>
  <si>
    <t>5.1.1.</t>
  </si>
  <si>
    <r>
      <t xml:space="preserve">saražotā siltumenerģija </t>
    </r>
    <r>
      <rPr>
        <b/>
        <sz val="11"/>
        <rFont val="Times New Roman"/>
        <family val="1"/>
        <charset val="186"/>
      </rPr>
      <t>koģenerācijas režīmā:</t>
    </r>
  </si>
  <si>
    <t>Siltumenerģija no centralizētās siltumapgādes sistēmas, saražota no atjaunojamiem kurināmiem bez koģenerācijas</t>
  </si>
  <si>
    <t>5.1.1.1. ar atjaunojamiem energoresursiem</t>
  </si>
  <si>
    <t>Siltumenerģija no centralizētās siltumapgādes sistēmas, saražota koģenerācijā no fosilajiem kurināmiem</t>
  </si>
  <si>
    <t>5.1.1.2. ar neatjaunojamiem energoresursiem</t>
  </si>
  <si>
    <t>Siltumenerģija no centralizētās siltumapgādes sistēmas, saražota koģenerācijā no atjaunojamiem kurināmiem</t>
  </si>
  <si>
    <t>5.1.2.</t>
  </si>
  <si>
    <r>
      <t xml:space="preserve">saražotā siltumenerģija </t>
    </r>
    <r>
      <rPr>
        <b/>
        <sz val="11"/>
        <rFont val="Times New Roman"/>
        <family val="1"/>
        <charset val="186"/>
      </rPr>
      <t>bez koģenerācijas</t>
    </r>
    <r>
      <rPr>
        <sz val="11"/>
        <rFont val="Times New Roman"/>
        <family val="1"/>
        <charset val="186"/>
      </rPr>
      <t>:</t>
    </r>
  </si>
  <si>
    <t>5.1.2.1. ar atjaunojamiem energoresursiem</t>
  </si>
  <si>
    <t>5.1.2.2. ar neatjaunojamiem energoresursiem</t>
  </si>
  <si>
    <t>Kopā:</t>
  </si>
  <si>
    <r>
      <t>f</t>
    </r>
    <r>
      <rPr>
        <vertAlign val="subscript"/>
        <sz val="11"/>
        <rFont val="Times New Roman"/>
        <family val="1"/>
        <charset val="186"/>
      </rPr>
      <t>Pnren</t>
    </r>
    <r>
      <rPr>
        <sz val="10"/>
        <rFont val="Times New Roman"/>
        <family val="1"/>
        <charset val="186"/>
      </rPr>
      <t>, f</t>
    </r>
    <r>
      <rPr>
        <vertAlign val="subscript"/>
        <sz val="10"/>
        <rFont val="Times New Roman"/>
        <family val="1"/>
        <charset val="186"/>
      </rPr>
      <t>Pren</t>
    </r>
    <r>
      <rPr>
        <sz val="10"/>
        <rFont val="Times New Roman"/>
        <family val="1"/>
        <charset val="186"/>
      </rPr>
      <t xml:space="preserve">, </t>
    </r>
    <r>
      <rPr>
        <b/>
        <sz val="10"/>
        <rFont val="Times New Roman"/>
        <family val="1"/>
        <charset val="186"/>
      </rPr>
      <t>f</t>
    </r>
    <r>
      <rPr>
        <b/>
        <vertAlign val="subscript"/>
        <sz val="10"/>
        <rFont val="Times New Roman"/>
        <family val="1"/>
        <charset val="186"/>
      </rPr>
      <t>Ptot</t>
    </r>
    <r>
      <rPr>
        <i/>
        <sz val="10"/>
        <rFont val="Times New Roman"/>
        <family val="1"/>
        <charset val="186"/>
      </rPr>
      <t>–</t>
    </r>
    <r>
      <rPr>
        <sz val="10"/>
        <rFont val="Times New Roman"/>
        <family val="1"/>
        <charset val="186"/>
      </rPr>
      <t> centralizētās siltumapgādes primārās enerģijas faktori:</t>
    </r>
  </si>
  <si>
    <r>
      <t>5.2. Aprēķinātais CO</t>
    </r>
    <r>
      <rPr>
        <b/>
        <vertAlign val="subscript"/>
        <sz val="11"/>
        <rFont val="Times New Roman"/>
        <family val="1"/>
        <charset val="186"/>
      </rPr>
      <t>2</t>
    </r>
    <r>
      <rPr>
        <b/>
        <sz val="11"/>
        <rFont val="Times New Roman"/>
        <family val="1"/>
        <charset val="186"/>
      </rPr>
      <t xml:space="preserve"> emisijas faktors*</t>
    </r>
  </si>
  <si>
    <r>
      <t>CO</t>
    </r>
    <r>
      <rPr>
        <vertAlign val="subscript"/>
        <sz val="11"/>
        <rFont val="Times New Roman"/>
        <family val="1"/>
        <charset val="186"/>
      </rPr>
      <t xml:space="preserve">2 </t>
    </r>
    <r>
      <rPr>
        <sz val="11"/>
        <rFont val="Times New Roman"/>
        <family val="1"/>
        <charset val="186"/>
      </rPr>
      <t>faktora vērtība,
t/MWh</t>
    </r>
  </si>
  <si>
    <t>vidēji MWh gadā</t>
  </si>
  <si>
    <t>5.2.1.</t>
  </si>
  <si>
    <t>5.2.1.1. ar atjaunojamiem energoresursiem</t>
  </si>
  <si>
    <t>5.2.1.2. ar neatjaunojamiem energoresursiem</t>
  </si>
  <si>
    <t>5.2.2.</t>
  </si>
  <si>
    <t>5.2.2.1. ar atjaunojamiem energoresursiem</t>
  </si>
  <si>
    <t>5.2.2.2. ar neatjaunojamiem energoresursiem</t>
  </si>
  <si>
    <r>
      <t>CO</t>
    </r>
    <r>
      <rPr>
        <vertAlign val="subscript"/>
        <sz val="11"/>
        <rFont val="Times New Roman"/>
        <family val="1"/>
        <charset val="186"/>
      </rPr>
      <t>2</t>
    </r>
    <r>
      <rPr>
        <sz val="11"/>
        <rFont val="Times New Roman"/>
        <family val="1"/>
        <charset val="186"/>
      </rPr>
      <t xml:space="preserve"> emisijas faktors siltumenerģijai, ko aprēķina centralizētās siltumapgādes sistēmas operators, lokālās siltumapgādes sistēmas operators vai individuālās siltumapgādes sistēmas lietotājs, kg CO</t>
    </r>
    <r>
      <rPr>
        <vertAlign val="subscript"/>
        <sz val="11"/>
        <rFont val="Times New Roman"/>
        <family val="1"/>
        <charset val="186"/>
      </rPr>
      <t>2</t>
    </r>
    <r>
      <rPr>
        <sz val="11"/>
        <rFont val="Times New Roman"/>
        <family val="1"/>
        <charset val="186"/>
      </rPr>
      <t xml:space="preserve"> / MWh</t>
    </r>
  </si>
  <si>
    <t>* izmantotie faktori atbilstoši Ministru kabineta 2018. gada 8. aprīļa noteikumiem Nr.222 "Ēku energoefektivitātes aprēķina metodes un ēku energosertifikācijas noteikumi" 6.pielikuma prasībām.</t>
  </si>
  <si>
    <r>
      <t xml:space="preserve">6. Ziņojums par kopējo ēkas energoefektivitāti
</t>
    </r>
    <r>
      <rPr>
        <sz val="12"/>
        <rFont val="Times New Roman"/>
        <family val="1"/>
      </rPr>
      <t>6.sadaļa satur 2 lapaspuses</t>
    </r>
  </si>
  <si>
    <t>6.1.</t>
  </si>
  <si>
    <r>
      <t>ēkas izmērītās energoefektivitātes novērtējuma un ēkas aprēķinātās energoefektivitātes novērtējuma salīdzinājums pie vienādiem iekštelpu temperatūras nosacījumiem ir/nav pieņemams(&lt;10%/&lt;10kWh/m</t>
    </r>
    <r>
      <rPr>
        <vertAlign val="superscript"/>
        <sz val="10"/>
        <color theme="1"/>
        <rFont val="Times New Roman"/>
        <family val="1"/>
      </rPr>
      <t>2</t>
    </r>
    <r>
      <rPr>
        <sz val="10"/>
        <color theme="1"/>
        <rFont val="Times New Roman"/>
        <family val="1"/>
      </rPr>
      <t xml:space="preserve"> gadā):</t>
    </r>
  </si>
  <si>
    <t>6.1.1</t>
  </si>
  <si>
    <t>ēkas izmērītās energoefektivitātes novērtējumu, kas iegūts, pamatojoties uz izmērītajiem piegādātās un eksportētās enerģijas daudzumiem, kWh gadā:</t>
  </si>
  <si>
    <t>6.1.2</t>
  </si>
  <si>
    <t>ēkas aprēķinātās energoefektivitātes novērtējumu, kas iegūts, pamatojoties uz aprēķiniem par enerģijas
patēriņu ēkas apkures, dzesēšanas, ventilācijas, karstā ūdens sagatavošanas un apgaismojuma vajadzībām, kWh gadā:</t>
  </si>
  <si>
    <t>6.2.</t>
  </si>
  <si>
    <t>Projekta rādītāji:</t>
  </si>
  <si>
    <t>6.2.1</t>
  </si>
  <si>
    <t>uzstādītā jauda siltumenerģijas ražošanai no AER izmantojošām tehnoloģijām, kW:</t>
  </si>
  <si>
    <t>6.2.2</t>
  </si>
  <si>
    <t>uzstādītā jauda elektroenerģijas ražošanai no AER izmantojošām tehnoloģijām, kW:</t>
  </si>
  <si>
    <t>6.2.3</t>
  </si>
  <si>
    <t>plānotais saražotās siltumenerģijas daudzums gadā ar ēkā uzstādītajām AER tehnoloģijām, MWh gadā:</t>
  </si>
  <si>
    <t>pašpatēriņš &lt; 80%</t>
  </si>
  <si>
    <t>6.2.4</t>
  </si>
  <si>
    <t>plānotais patērētās siltumenerģijas apjoms, MWh gadā:</t>
  </si>
  <si>
    <t>6.2.5</t>
  </si>
  <si>
    <t>plānotais saražotās elektroenerģijas daudzums gadā ar ēkā uzstādītajām AER tehnoloģijām, MWh gadā:</t>
  </si>
  <si>
    <t>6.2.6</t>
  </si>
  <si>
    <t>plānotais patērētās elektroenerģijas apjoms, MWh gadā:</t>
  </si>
  <si>
    <r>
      <t>6.3. Esošā situācija*</t>
    </r>
    <r>
      <rPr>
        <vertAlign val="superscript"/>
        <sz val="12"/>
        <color rgb="FF000000"/>
        <rFont val="Times New Roman"/>
        <family val="1"/>
      </rPr>
      <t>1</t>
    </r>
  </si>
  <si>
    <t>Pakalpojums</t>
  </si>
  <si>
    <t>Energo-prasība</t>
  </si>
  <si>
    <t>Energoresurss</t>
  </si>
  <si>
    <t>Energoresurss pakalpojumam</t>
  </si>
  <si>
    <t>Sezonālais
lietderības
koeficients</t>
  </si>
  <si>
    <r>
      <t>Primārās enerģijas koeficients neatjaunojamo energoresursu daļai, f</t>
    </r>
    <r>
      <rPr>
        <vertAlign val="subscript"/>
        <sz val="8"/>
        <rFont val="Times New Roman"/>
        <family val="1"/>
        <charset val="186"/>
      </rPr>
      <t>Pnren</t>
    </r>
  </si>
  <si>
    <r>
      <t>Primārās enerģijas koeficients atjaunojamo energoresursu daļai, f</t>
    </r>
    <r>
      <rPr>
        <vertAlign val="subscript"/>
        <sz val="8"/>
        <rFont val="Times New Roman"/>
        <family val="1"/>
        <charset val="186"/>
      </rPr>
      <t>Pren</t>
    </r>
  </si>
  <si>
    <r>
      <t>CO</t>
    </r>
    <r>
      <rPr>
        <vertAlign val="subscript"/>
        <sz val="8"/>
        <rFont val="Times New Roman"/>
        <family val="1"/>
        <charset val="186"/>
      </rPr>
      <t>2</t>
    </r>
    <r>
      <rPr>
        <sz val="8"/>
        <rFont val="Times New Roman"/>
        <family val="1"/>
        <charset val="186"/>
      </rPr>
      <t xml:space="preserve"> emisiju faktors</t>
    </r>
  </si>
  <si>
    <r>
      <t>Svērtā energoefektivitāte, E</t>
    </r>
    <r>
      <rPr>
        <vertAlign val="subscript"/>
        <sz val="11"/>
        <rFont val="Times New Roman"/>
        <family val="1"/>
      </rPr>
      <t>we</t>
    </r>
  </si>
  <si>
    <t>pieprasītā
enerģija</t>
  </si>
  <si>
    <t>zudumi vai papildus
enerģija</t>
  </si>
  <si>
    <t>piegādātā
enerģija</t>
  </si>
  <si>
    <r>
      <t>Primārā neatjaunojamā
enerģija
E</t>
    </r>
    <r>
      <rPr>
        <vertAlign val="subscript"/>
        <sz val="8"/>
        <rFont val="Times New Roman"/>
        <family val="1"/>
        <charset val="186"/>
      </rPr>
      <t>Pnren</t>
    </r>
  </si>
  <si>
    <r>
      <t>Primārā
atjaunojamā
enerģija
E</t>
    </r>
    <r>
      <rPr>
        <vertAlign val="subscript"/>
        <sz val="8"/>
        <rFont val="Times New Roman"/>
        <family val="1"/>
        <charset val="186"/>
      </rPr>
      <t>pren</t>
    </r>
  </si>
  <si>
    <r>
      <t>Primārā
kopējā 
enerģija
E</t>
    </r>
    <r>
      <rPr>
        <vertAlign val="subscript"/>
        <sz val="8"/>
        <rFont val="Times New Roman"/>
        <family val="1"/>
      </rPr>
      <t>Ptot</t>
    </r>
  </si>
  <si>
    <r>
      <t>CO</t>
    </r>
    <r>
      <rPr>
        <vertAlign val="subscript"/>
        <sz val="8"/>
        <rFont val="Times New Roman"/>
        <family val="1"/>
      </rPr>
      <t>2</t>
    </r>
    <r>
      <rPr>
        <sz val="8"/>
        <rFont val="Times New Roman"/>
        <family val="1"/>
      </rPr>
      <t xml:space="preserve"> emisiju novērtējums</t>
    </r>
  </si>
  <si>
    <t>kg//kWh</t>
  </si>
  <si>
    <t>Apkure</t>
  </si>
  <si>
    <t>Saules termālā enerģija</t>
  </si>
  <si>
    <t>Vides enerģija</t>
  </si>
  <si>
    <t xml:space="preserve">Sadzīves karstais ūdens sagatavošana 
</t>
  </si>
  <si>
    <t>Ventilācija</t>
  </si>
  <si>
    <t>Apgaismojums</t>
  </si>
  <si>
    <t>Dzesēšana</t>
  </si>
  <si>
    <t>ĒEE lietderīgi izmantotā saules termālā siltumenerģija:</t>
  </si>
  <si>
    <t>CSA</t>
  </si>
  <si>
    <t>ĒEE lietderīgi izmantotā saules PV elektroenerģija:</t>
  </si>
  <si>
    <r>
      <t>6.4. Plānotā situācija*</t>
    </r>
    <r>
      <rPr>
        <vertAlign val="superscript"/>
        <sz val="12"/>
        <color rgb="FF000000"/>
        <rFont val="Times New Roman"/>
        <family val="1"/>
      </rPr>
      <t>1</t>
    </r>
  </si>
  <si>
    <r>
      <t>Piezīmes.
1. *</t>
    </r>
    <r>
      <rPr>
        <vertAlign val="superscript"/>
        <sz val="9"/>
        <color theme="1"/>
        <rFont val="Times New Roman"/>
        <family val="1"/>
      </rPr>
      <t>1</t>
    </r>
    <r>
      <rPr>
        <sz val="9"/>
        <color theme="1"/>
        <rFont val="Times New Roman"/>
        <family val="1"/>
        <charset val="186"/>
      </rPr>
      <t xml:space="preserve"> Atbilstoši MK noteikumu Nr. 222 "Ēku energoefektivitātes aprēķina metodes un ēku energosertifikācijas noteikumi" 7.pielikumam
2. *</t>
    </r>
    <r>
      <rPr>
        <vertAlign val="superscript"/>
        <sz val="9"/>
        <color theme="1"/>
        <rFont val="Times New Roman"/>
        <family val="1"/>
      </rPr>
      <t>2</t>
    </r>
    <r>
      <rPr>
        <sz val="9"/>
        <color theme="1"/>
        <rFont val="Times New Roman"/>
        <family val="1"/>
        <charset val="186"/>
      </rPr>
      <t xml:space="preserve"> Atbilstoši MK noteikumu Nr. 222 "Ēku energoefektivitātes aprēķina metodes un ēku energosertifikācijas noteikumi" 6.pielikuma 15.punktam "Siltumenerģija no centralizētās siltumapgādes sistēmas, no konkrēta piegādātāja", kur primārās kopējās enerģijas novērtējumā izmanto konkrētā piegādātāja kurināmā patēriņa primārās enerģijas faktorus, CO</t>
    </r>
    <r>
      <rPr>
        <vertAlign val="subscript"/>
        <sz val="9"/>
        <color theme="1"/>
        <rFont val="Times New Roman"/>
        <family val="1"/>
      </rPr>
      <t>2</t>
    </r>
    <r>
      <rPr>
        <sz val="9"/>
        <color theme="1"/>
        <rFont val="Times New Roman"/>
        <family val="1"/>
        <charset val="186"/>
      </rPr>
      <t xml:space="preserve"> emisiju novērtējumā izmanto konkrētā piegādātāja sniegto informāciju.</t>
    </r>
  </si>
  <si>
    <t>Saules termālā</t>
  </si>
  <si>
    <t>ERAF finansējums:</t>
  </si>
  <si>
    <t>euro</t>
  </si>
  <si>
    <t>Projekta kvalitātes rādītāji (viena ēka vai ēku grupa ar kopēju enerģijas uzskaiti)</t>
  </si>
  <si>
    <t>Rādītājs</t>
  </si>
  <si>
    <t>Mērvienība</t>
  </si>
  <si>
    <t>Rezultāts</t>
  </si>
  <si>
    <t>1.</t>
  </si>
  <si>
    <t>Projekta mērķis atbilst MK noteikumos noteiktajam mērķim - vismaz 30% primārās enerģijas ietaupījums</t>
  </si>
  <si>
    <t>Neatbilst</t>
  </si>
  <si>
    <t>2.</t>
  </si>
  <si>
    <t>Finansējums uz vienu ietaupīto primārās enerģijas kilovatstundu nepārsniedz 12,50 euro (ieskaitot)</t>
  </si>
  <si>
    <t>euro/kWh</t>
  </si>
  <si>
    <t>3.</t>
  </si>
  <si>
    <r>
      <t>Sākotnējais primārās enerģijas patēriņš pirms projekta īstenošanas ir lielāks par 120 kWh/m</t>
    </r>
    <r>
      <rPr>
        <vertAlign val="superscript"/>
        <sz val="12"/>
        <color theme="1"/>
        <rFont val="Times New Roman"/>
        <family val="1"/>
      </rPr>
      <t>2</t>
    </r>
    <r>
      <rPr>
        <sz val="12"/>
        <color theme="1"/>
        <rFont val="Times New Roman"/>
        <family val="1"/>
      </rPr>
      <t xml:space="preserve"> gadā (ieskaitot)</t>
    </r>
  </si>
  <si>
    <r>
      <t>kWh/m</t>
    </r>
    <r>
      <rPr>
        <i/>
        <vertAlign val="superscript"/>
        <sz val="12"/>
        <color theme="1"/>
        <rFont val="Times New Roman"/>
        <family val="1"/>
      </rPr>
      <t>2</t>
    </r>
    <r>
      <rPr>
        <i/>
        <sz val="12"/>
        <color theme="1"/>
        <rFont val="Times New Roman"/>
        <family val="1"/>
      </rPr>
      <t xml:space="preserve"> gadā</t>
    </r>
  </si>
  <si>
    <t>Klimatiskie dati:</t>
  </si>
  <si>
    <t>Mēnesis</t>
  </si>
  <si>
    <t>Gadā kopā</t>
  </si>
  <si>
    <r>
      <t>Starojums, Horizontāli, kWh/m</t>
    </r>
    <r>
      <rPr>
        <vertAlign val="superscript"/>
        <sz val="11"/>
        <rFont val="Arial"/>
        <family val="2"/>
        <charset val="186"/>
      </rPr>
      <t>2</t>
    </r>
  </si>
  <si>
    <r>
      <t>T</t>
    </r>
    <r>
      <rPr>
        <vertAlign val="subscript"/>
        <sz val="11"/>
        <rFont val="Arial"/>
        <family val="2"/>
      </rPr>
      <t>sky</t>
    </r>
  </si>
  <si>
    <t>Zemes temperatūra</t>
  </si>
  <si>
    <t>Piegādātās un eksportētās elektroenerģijas komponenšu aprēķināšana</t>
  </si>
  <si>
    <t>Gadā</t>
  </si>
  <si>
    <t>ĒEE el.en. lietojums, apkure, kWh</t>
  </si>
  <si>
    <t>ĒEE el.en. lietojums, SKŪ, kWh</t>
  </si>
  <si>
    <t>ĒEE lietojums, ventilācija, kWh</t>
  </si>
  <si>
    <t>ĒEE lietojums, apgaismojums, kWh</t>
  </si>
  <si>
    <t>ĒEE el.en. lietojums, dzesēšana, kWh</t>
  </si>
  <si>
    <t>ĒEE elektroenerģijas lietojums, kWh</t>
  </si>
  <si>
    <t>PV saražotā elektroenerģija, kWh</t>
  </si>
  <si>
    <t>PV ĒEE lietderīgā elektroenerģija, kWh</t>
  </si>
  <si>
    <t>Tīklā eksportētā elektroenerģija, kWh</t>
  </si>
  <si>
    <t>No tīkla piegādātā elektroenerģija, kWh</t>
  </si>
  <si>
    <t>Ainaži</t>
  </si>
  <si>
    <t>Alūksne</t>
  </si>
  <si>
    <t>Bauska</t>
  </si>
  <si>
    <t>Daugavpils</t>
  </si>
  <si>
    <t>Dobele</t>
  </si>
  <si>
    <t>Gulbene</t>
  </si>
  <si>
    <t>Jelgava</t>
  </si>
  <si>
    <t>Kolka</t>
  </si>
  <si>
    <t>Liepāja</t>
  </si>
  <si>
    <t>Mērsrags</t>
  </si>
  <si>
    <t>Pāvilosta</t>
  </si>
  <si>
    <t>Priekuļi</t>
  </si>
  <si>
    <t>Rēzekne</t>
  </si>
  <si>
    <t>Rīga</t>
  </si>
  <si>
    <t>Rūjiena</t>
  </si>
  <si>
    <t>Saldus</t>
  </si>
  <si>
    <t>Skrīveri</t>
  </si>
  <si>
    <t>Skulte</t>
  </si>
  <si>
    <t>Stende</t>
  </si>
  <si>
    <t>Ventspils</t>
  </si>
  <si>
    <t>Zīlāni</t>
  </si>
  <si>
    <t>Zosēni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</si>
</sst>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
    <numFmt numFmtId="166" formatCode="#,##0.0"/>
    <numFmt numFmtId="167" formatCode="#,##0.000"/>
    <numFmt numFmtId="168" formatCode="0.0000"/>
    <numFmt numFmtId="169" formatCode="0.00000"/>
    <numFmt numFmtId="170" formatCode="0.0%"/>
  </numFmts>
  <fonts count="111">
    <font>
      <sz val="11"/>
      <color theme="1"/>
      <name val="Calibri"/>
      <family val="2"/>
      <charset val="186"/>
      <scheme val="minor"/>
    </font>
    <font>
      <sz val="11"/>
      <color theme="1"/>
      <name val="Calibri"/>
      <family val="2"/>
      <charset val="186"/>
      <scheme val="minor"/>
    </font>
    <font>
      <sz val="10"/>
      <name val="Arial"/>
      <family val="2"/>
    </font>
    <font>
      <sz val="10"/>
      <name val="Helv"/>
    </font>
    <font>
      <sz val="10"/>
      <name val="MS Sans Serif"/>
      <family val="2"/>
    </font>
    <font>
      <sz val="11"/>
      <color theme="1"/>
      <name val="Calibri"/>
      <family val="2"/>
      <scheme val="minor"/>
    </font>
    <font>
      <b/>
      <sz val="10"/>
      <color theme="1"/>
      <name val="Times New Roman"/>
      <family val="1"/>
      <charset val="186"/>
    </font>
    <font>
      <sz val="10"/>
      <color theme="1"/>
      <name val="Times New Roman"/>
      <family val="1"/>
      <charset val="186"/>
    </font>
    <font>
      <sz val="12"/>
      <color theme="1"/>
      <name val="Times New Roman"/>
      <family val="1"/>
      <charset val="186"/>
    </font>
    <font>
      <sz val="11"/>
      <color theme="1"/>
      <name val="Times New Roman"/>
      <family val="1"/>
      <charset val="186"/>
    </font>
    <font>
      <sz val="10"/>
      <name val="Times New Roman"/>
      <family val="1"/>
      <charset val="186"/>
    </font>
    <font>
      <b/>
      <sz val="16"/>
      <name val="Times New Roman"/>
      <family val="1"/>
      <charset val="186"/>
    </font>
    <font>
      <b/>
      <sz val="10"/>
      <name val="Times New Roman"/>
      <family val="1"/>
      <charset val="186"/>
    </font>
    <font>
      <sz val="8"/>
      <name val="Times New Roman"/>
      <family val="1"/>
      <charset val="186"/>
    </font>
    <font>
      <sz val="9"/>
      <name val="Times New Roman"/>
      <family val="1"/>
      <charset val="186"/>
    </font>
    <font>
      <b/>
      <sz val="12"/>
      <name val="Times New Roman"/>
      <family val="1"/>
      <charset val="186"/>
    </font>
    <font>
      <sz val="11"/>
      <name val="Times New Roman"/>
      <family val="1"/>
      <charset val="186"/>
    </font>
    <font>
      <sz val="12"/>
      <color indexed="8"/>
      <name val="Times New Roman"/>
      <family val="1"/>
      <charset val="186"/>
    </font>
    <font>
      <b/>
      <sz val="14"/>
      <name val="Times New Roman"/>
      <family val="1"/>
      <charset val="186"/>
    </font>
    <font>
      <sz val="10"/>
      <color indexed="8"/>
      <name val="Times New Roman"/>
      <family val="1"/>
      <charset val="186"/>
    </font>
    <font>
      <b/>
      <sz val="8"/>
      <name val="Times New Roman"/>
      <family val="1"/>
      <charset val="186"/>
    </font>
    <font>
      <vertAlign val="superscript"/>
      <sz val="10"/>
      <name val="Times New Roman"/>
      <family val="1"/>
      <charset val="186"/>
    </font>
    <font>
      <sz val="12"/>
      <name val="Times New Roman"/>
      <family val="1"/>
      <charset val="186"/>
    </font>
    <font>
      <b/>
      <sz val="8"/>
      <color indexed="8"/>
      <name val="Times New Roman"/>
      <family val="1"/>
      <charset val="186"/>
    </font>
    <font>
      <b/>
      <sz val="10"/>
      <color rgb="FF000000"/>
      <name val="Times New Roman"/>
      <family val="1"/>
      <charset val="186"/>
    </font>
    <font>
      <b/>
      <sz val="11"/>
      <color theme="1"/>
      <name val="Times New Roman"/>
      <family val="1"/>
      <charset val="186"/>
    </font>
    <font>
      <sz val="9"/>
      <color theme="1"/>
      <name val="Times New Roman"/>
      <family val="1"/>
      <charset val="186"/>
    </font>
    <font>
      <b/>
      <sz val="11"/>
      <name val="Times New Roman"/>
      <family val="1"/>
      <charset val="186"/>
    </font>
    <font>
      <sz val="8"/>
      <name val="Calibri"/>
      <family val="2"/>
      <charset val="186"/>
      <scheme val="minor"/>
    </font>
    <font>
      <b/>
      <sz val="9"/>
      <name val="Times New Roman"/>
      <family val="1"/>
      <charset val="186"/>
    </font>
    <font>
      <b/>
      <vertAlign val="superscript"/>
      <sz val="8"/>
      <name val="Times New Roman"/>
      <family val="1"/>
      <charset val="186"/>
    </font>
    <font>
      <sz val="14"/>
      <color theme="1"/>
      <name val="Times New Roman"/>
      <family val="1"/>
      <charset val="186"/>
    </font>
    <font>
      <vertAlign val="subscript"/>
      <sz val="8"/>
      <name val="Times New Roman"/>
      <family val="1"/>
      <charset val="186"/>
    </font>
    <font>
      <sz val="6"/>
      <name val="Times New Roman"/>
      <family val="1"/>
      <charset val="186"/>
    </font>
    <font>
      <u/>
      <sz val="11"/>
      <color theme="10"/>
      <name val="Calibri"/>
      <family val="2"/>
      <charset val="186"/>
      <scheme val="minor"/>
    </font>
    <font>
      <vertAlign val="subscript"/>
      <sz val="11"/>
      <name val="Times New Roman"/>
      <family val="1"/>
      <charset val="186"/>
    </font>
    <font>
      <vertAlign val="subscript"/>
      <sz val="10"/>
      <name val="Times New Roman"/>
      <family val="1"/>
      <charset val="186"/>
    </font>
    <font>
      <b/>
      <vertAlign val="subscript"/>
      <sz val="10"/>
      <name val="Times New Roman"/>
      <family val="1"/>
      <charset val="186"/>
    </font>
    <font>
      <i/>
      <sz val="10"/>
      <name val="Times New Roman"/>
      <family val="1"/>
      <charset val="186"/>
    </font>
    <font>
      <b/>
      <vertAlign val="subscript"/>
      <sz val="11"/>
      <name val="Times New Roman"/>
      <family val="1"/>
      <charset val="186"/>
    </font>
    <font>
      <b/>
      <sz val="10"/>
      <name val="Arial"/>
      <family val="2"/>
      <charset val="186"/>
    </font>
    <font>
      <sz val="10"/>
      <name val="Arial"/>
      <family val="2"/>
      <charset val="186"/>
    </font>
    <font>
      <sz val="11"/>
      <name val="Arial"/>
      <family val="2"/>
    </font>
    <font>
      <vertAlign val="subscript"/>
      <sz val="11"/>
      <name val="Arial"/>
      <family val="2"/>
    </font>
    <font>
      <b/>
      <sz val="10"/>
      <color indexed="10"/>
      <name val="Arial"/>
      <family val="2"/>
    </font>
    <font>
      <vertAlign val="superscript"/>
      <sz val="11"/>
      <name val="Arial"/>
      <family val="2"/>
      <charset val="186"/>
    </font>
    <font>
      <sz val="6"/>
      <color theme="1"/>
      <name val="Times New Roman"/>
      <family val="1"/>
      <charset val="186"/>
    </font>
    <font>
      <sz val="9"/>
      <color theme="1"/>
      <name val="Times New Roman"/>
      <family val="1"/>
    </font>
    <font>
      <sz val="9"/>
      <name val="Times New Roman"/>
      <family val="1"/>
    </font>
    <font>
      <sz val="12"/>
      <color indexed="8"/>
      <name val="Times New Roman"/>
      <family val="1"/>
    </font>
    <font>
      <sz val="10"/>
      <name val="Times New Roman"/>
      <family val="1"/>
    </font>
    <font>
      <sz val="12"/>
      <color theme="1"/>
      <name val="Times New Roman"/>
      <family val="1"/>
    </font>
    <font>
      <sz val="10"/>
      <color theme="1"/>
      <name val="Times New Roman"/>
      <family val="1"/>
    </font>
    <font>
      <sz val="10"/>
      <color theme="0"/>
      <name val="Times New Roman"/>
      <family val="1"/>
      <charset val="186"/>
    </font>
    <font>
      <sz val="12"/>
      <color rgb="FF000000"/>
      <name val="Times New Roman"/>
      <family val="1"/>
    </font>
    <font>
      <vertAlign val="superscript"/>
      <sz val="12"/>
      <color rgb="FF000000"/>
      <name val="Times New Roman"/>
      <family val="1"/>
    </font>
    <font>
      <sz val="11"/>
      <name val="Times New Roman"/>
      <family val="1"/>
    </font>
    <font>
      <vertAlign val="subscript"/>
      <sz val="11"/>
      <name val="Times New Roman"/>
      <family val="1"/>
    </font>
    <font>
      <sz val="8"/>
      <name val="Times New Roman"/>
      <family val="1"/>
    </font>
    <font>
      <vertAlign val="subscript"/>
      <sz val="8"/>
      <name val="Times New Roman"/>
      <family val="1"/>
    </font>
    <font>
      <vertAlign val="superscript"/>
      <sz val="9"/>
      <color theme="1"/>
      <name val="Times New Roman"/>
      <family val="1"/>
    </font>
    <font>
      <vertAlign val="subscript"/>
      <sz val="9"/>
      <color theme="1"/>
      <name val="Times New Roman"/>
      <family val="1"/>
    </font>
    <font>
      <b/>
      <sz val="16"/>
      <name val="Times New Roman"/>
      <family val="1"/>
    </font>
    <font>
      <b/>
      <sz val="12"/>
      <name val="Times New Roman"/>
      <family val="1"/>
    </font>
    <font>
      <b/>
      <sz val="14"/>
      <color theme="1"/>
      <name val="Times New Roman"/>
      <family val="1"/>
    </font>
    <font>
      <b/>
      <sz val="16"/>
      <color theme="1"/>
      <name val="Times New Roman"/>
      <family val="1"/>
    </font>
    <font>
      <sz val="11"/>
      <color theme="1"/>
      <name val="Times New Roman"/>
      <family val="1"/>
    </font>
    <font>
      <b/>
      <vertAlign val="superscript"/>
      <sz val="11"/>
      <color theme="1"/>
      <name val="Times New Roman"/>
      <family val="1"/>
    </font>
    <font>
      <sz val="12"/>
      <color rgb="FF000000"/>
      <name val="Times New Roman"/>
      <family val="1"/>
      <charset val="186"/>
    </font>
    <font>
      <sz val="10"/>
      <color rgb="FF000000"/>
      <name val="Times New Roman"/>
      <family val="1"/>
      <charset val="186"/>
    </font>
    <font>
      <sz val="6"/>
      <color rgb="FF000000"/>
      <name val="Times New Roman"/>
      <family val="1"/>
      <charset val="186"/>
    </font>
    <font>
      <b/>
      <i/>
      <sz val="16"/>
      <name val="Times New Roman"/>
      <family val="1"/>
      <charset val="186"/>
    </font>
    <font>
      <sz val="9"/>
      <name val="Arial"/>
      <family val="2"/>
      <charset val="186"/>
    </font>
    <font>
      <vertAlign val="superscript"/>
      <sz val="9"/>
      <name val="Times New Roman"/>
      <family val="1"/>
      <charset val="186"/>
    </font>
    <font>
      <sz val="11"/>
      <name val="Calibri"/>
      <family val="2"/>
      <charset val="186"/>
      <scheme val="minor"/>
    </font>
    <font>
      <sz val="12"/>
      <name val="Times New Roman"/>
      <family val="1"/>
    </font>
    <font>
      <b/>
      <sz val="11"/>
      <name val="Times New Roman"/>
      <family val="1"/>
    </font>
    <font>
      <vertAlign val="superscript"/>
      <sz val="9"/>
      <name val="Times New Roman"/>
      <family val="1"/>
    </font>
    <font>
      <b/>
      <sz val="16"/>
      <color rgb="FF000000"/>
      <name val="Times New Roman"/>
      <family val="1"/>
      <charset val="186"/>
    </font>
    <font>
      <b/>
      <sz val="11"/>
      <color theme="1"/>
      <name val="Times New Roman"/>
      <family val="1"/>
    </font>
    <font>
      <sz val="11"/>
      <color rgb="FF000000"/>
      <name val="Times New Roman"/>
      <family val="1"/>
      <charset val="186"/>
    </font>
    <font>
      <i/>
      <sz val="12"/>
      <color theme="1"/>
      <name val="Times New Roman"/>
      <family val="1"/>
    </font>
    <font>
      <vertAlign val="superscript"/>
      <sz val="12"/>
      <color theme="1"/>
      <name val="Times New Roman"/>
      <family val="1"/>
    </font>
    <font>
      <sz val="9"/>
      <color theme="0"/>
      <name val="Times New Roman"/>
      <family val="1"/>
      <charset val="186"/>
    </font>
    <font>
      <sz val="11"/>
      <color rgb="FF0070C0"/>
      <name val="Times New Roman"/>
      <family val="1"/>
    </font>
    <font>
      <sz val="12"/>
      <color rgb="FF0070C0"/>
      <name val="Times New Roman"/>
      <family val="1"/>
    </font>
    <font>
      <sz val="11"/>
      <color rgb="FF0070C0"/>
      <name val="Times New Roman"/>
      <family val="1"/>
      <charset val="186"/>
    </font>
    <font>
      <sz val="12"/>
      <color rgb="FF0070C0"/>
      <name val="Times New Roman"/>
      <family val="1"/>
      <charset val="186"/>
    </font>
    <font>
      <sz val="10"/>
      <color rgb="FF0070C0"/>
      <name val="Times New Roman"/>
      <family val="1"/>
      <charset val="186"/>
    </font>
    <font>
      <sz val="10"/>
      <color rgb="FF0070C0"/>
      <name val="Times New Roman"/>
      <family val="1"/>
    </font>
    <font>
      <b/>
      <sz val="12"/>
      <color theme="1"/>
      <name val="Times New Roman"/>
      <family val="1"/>
    </font>
    <font>
      <sz val="12"/>
      <color theme="0"/>
      <name val="Times New Roman"/>
      <family val="1"/>
    </font>
    <font>
      <sz val="12"/>
      <color rgb="FFFF0000"/>
      <name val="Times New Roman"/>
      <family val="1"/>
    </font>
    <font>
      <vertAlign val="superscript"/>
      <sz val="10"/>
      <color theme="1"/>
      <name val="Times New Roman"/>
      <family val="1"/>
    </font>
    <font>
      <sz val="11"/>
      <color theme="0"/>
      <name val="Times New Roman"/>
      <family val="1"/>
    </font>
    <font>
      <i/>
      <vertAlign val="superscript"/>
      <sz val="12"/>
      <color theme="1"/>
      <name val="Times New Roman"/>
      <family val="1"/>
    </font>
    <font>
      <b/>
      <sz val="10"/>
      <color theme="0"/>
      <name val="Times New Roman"/>
      <family val="1"/>
    </font>
    <font>
      <b/>
      <sz val="10"/>
      <color theme="0"/>
      <name val="Times New Roman"/>
      <family val="1"/>
      <charset val="186"/>
    </font>
    <font>
      <b/>
      <sz val="12"/>
      <color rgb="FFFF0000"/>
      <name val="Times New Roman"/>
      <family val="1"/>
    </font>
    <font>
      <sz val="8"/>
      <color theme="1"/>
      <name val="Times New Roman"/>
      <family val="1"/>
    </font>
    <font>
      <sz val="8"/>
      <color rgb="FF000000"/>
      <name val="Times New Roman"/>
      <family val="1"/>
    </font>
    <font>
      <vertAlign val="superscript"/>
      <sz val="8"/>
      <color theme="1"/>
      <name val="Times New Roman"/>
      <family val="1"/>
    </font>
    <font>
      <sz val="11"/>
      <color theme="0"/>
      <name val="Times New Roman"/>
      <family val="1"/>
      <charset val="186"/>
    </font>
    <font>
      <b/>
      <sz val="11"/>
      <color theme="0"/>
      <name val="Times New Roman"/>
      <family val="1"/>
      <charset val="186"/>
    </font>
    <font>
      <b/>
      <sz val="18"/>
      <name val="Times New Roman"/>
      <family val="1"/>
    </font>
    <font>
      <sz val="14"/>
      <color theme="0"/>
      <name val="Times New Roman"/>
      <family val="1"/>
    </font>
    <font>
      <u/>
      <sz val="12"/>
      <name val="Times New Roman"/>
      <family val="1"/>
    </font>
    <font>
      <i/>
      <sz val="11"/>
      <color rgb="FFFF0000"/>
      <name val="Times New Roman"/>
      <family val="1"/>
    </font>
    <font>
      <sz val="8"/>
      <color rgb="FFFF0000"/>
      <name val="Times New Roman"/>
      <family val="1"/>
      <charset val="186"/>
    </font>
    <font>
      <sz val="10"/>
      <color rgb="FFFF0000"/>
      <name val="Times New Roman"/>
      <family val="1"/>
      <charset val="186"/>
    </font>
    <font>
      <sz val="9"/>
      <color rgb="FFFF0000"/>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rgb="FFE1FFFF"/>
        <bgColor indexed="64"/>
      </patternFill>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8" tint="0.79998168889431442"/>
        <bgColor indexed="64"/>
      </patternFill>
    </fill>
  </fills>
  <borders count="31">
    <border>
      <left/>
      <right/>
      <top/>
      <bottom/>
      <diagonal/>
    </border>
    <border>
      <left/>
      <right/>
      <top/>
      <bottom style="thin">
        <color indexed="64"/>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auto="1"/>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auto="1"/>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top style="thin">
        <color auto="1"/>
      </top>
      <bottom style="thin">
        <color auto="1"/>
      </bottom>
      <diagonal style="thin">
        <color indexed="64"/>
      </diagonal>
    </border>
    <border diagonalUp="1" diagonalDown="1">
      <left/>
      <right style="thin">
        <color auto="1"/>
      </right>
      <top style="thin">
        <color auto="1"/>
      </top>
      <bottom style="thin">
        <color auto="1"/>
      </bottom>
      <diagonal style="thin">
        <color indexed="64"/>
      </diagonal>
    </border>
  </borders>
  <cellStyleXfs count="7">
    <xf numFmtId="0" fontId="0" fillId="0" borderId="0"/>
    <xf numFmtId="0" fontId="3" fillId="0" borderId="0"/>
    <xf numFmtId="0" fontId="4" fillId="0" borderId="0"/>
    <xf numFmtId="0" fontId="2" fillId="0" borderId="0"/>
    <xf numFmtId="0" fontId="5" fillId="0" borderId="0"/>
    <xf numFmtId="0" fontId="34" fillId="0" borderId="0" applyNumberFormat="0" applyFill="0" applyBorder="0" applyAlignment="0" applyProtection="0"/>
    <xf numFmtId="9" fontId="1" fillId="0" borderId="0" applyFont="0" applyFill="0" applyBorder="0" applyAlignment="0" applyProtection="0"/>
  </cellStyleXfs>
  <cellXfs count="596">
    <xf numFmtId="0" fontId="0" fillId="0" borderId="0" xfId="0"/>
    <xf numFmtId="0" fontId="9" fillId="0" borderId="0" xfId="0" applyFont="1"/>
    <xf numFmtId="0" fontId="8" fillId="4" borderId="0" xfId="0" applyFont="1" applyFill="1"/>
    <xf numFmtId="0" fontId="7" fillId="4" borderId="0" xfId="0" applyFont="1" applyFill="1"/>
    <xf numFmtId="0" fontId="9" fillId="4" borderId="0" xfId="0" applyFont="1" applyFill="1"/>
    <xf numFmtId="0" fontId="34" fillId="4" borderId="0" xfId="5" applyFill="1"/>
    <xf numFmtId="0" fontId="0" fillId="0" borderId="0" xfId="0" applyAlignment="1">
      <alignment vertical="center"/>
    </xf>
    <xf numFmtId="0" fontId="0" fillId="2" borderId="16" xfId="0" applyFill="1" applyBorder="1" applyAlignment="1">
      <alignment vertical="center"/>
    </xf>
    <xf numFmtId="0" fontId="41" fillId="2" borderId="17" xfId="0" applyFont="1" applyFill="1" applyBorder="1" applyAlignment="1">
      <alignment vertical="center"/>
    </xf>
    <xf numFmtId="1" fontId="41" fillId="0" borderId="5" xfId="0" applyNumberFormat="1" applyFont="1" applyBorder="1" applyAlignment="1">
      <alignment horizontal="center"/>
    </xf>
    <xf numFmtId="1" fontId="41" fillId="0" borderId="5" xfId="0" applyNumberFormat="1" applyFont="1" applyBorder="1" applyAlignment="1">
      <alignment horizontal="center" vertical="center"/>
    </xf>
    <xf numFmtId="0" fontId="41" fillId="2" borderId="18" xfId="0" applyFont="1" applyFill="1" applyBorder="1" applyAlignment="1">
      <alignment vertical="center"/>
    </xf>
    <xf numFmtId="1" fontId="41" fillId="0" borderId="19" xfId="0" applyNumberFormat="1" applyFont="1" applyBorder="1" applyAlignment="1">
      <alignment horizontal="center"/>
    </xf>
    <xf numFmtId="1" fontId="41" fillId="0" borderId="19"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42" fillId="2" borderId="17" xfId="0" applyFont="1" applyFill="1" applyBorder="1" applyAlignment="1">
      <alignment horizontal="left" vertical="center"/>
    </xf>
    <xf numFmtId="165" fontId="42" fillId="0" borderId="2" xfId="0" applyNumberFormat="1" applyFont="1" applyBorder="1" applyAlignment="1">
      <alignment horizontal="center" vertical="center"/>
    </xf>
    <xf numFmtId="165" fontId="42" fillId="0" borderId="3" xfId="0" applyNumberFormat="1" applyFont="1" applyBorder="1" applyAlignment="1">
      <alignment horizontal="center" vertical="center"/>
    </xf>
    <xf numFmtId="165" fontId="2" fillId="0" borderId="2" xfId="0" applyNumberFormat="1" applyFont="1" applyBorder="1" applyAlignment="1">
      <alignment horizontal="center" vertical="center"/>
    </xf>
    <xf numFmtId="0" fontId="42" fillId="2" borderId="18" xfId="0" applyFont="1" applyFill="1" applyBorder="1" applyAlignment="1">
      <alignment horizontal="left" vertical="center"/>
    </xf>
    <xf numFmtId="165" fontId="42" fillId="0" borderId="20" xfId="0" applyNumberFormat="1" applyFont="1" applyBorder="1" applyAlignment="1">
      <alignment horizontal="center" vertical="center"/>
    </xf>
    <xf numFmtId="165" fontId="42" fillId="0" borderId="21" xfId="0" applyNumberFormat="1" applyFont="1" applyBorder="1" applyAlignment="1">
      <alignment horizontal="center" vertical="center"/>
    </xf>
    <xf numFmtId="165" fontId="2" fillId="0" borderId="20" xfId="0" applyNumberFormat="1" applyFont="1" applyBorder="1" applyAlignment="1">
      <alignment horizontal="center" vertical="center"/>
    </xf>
    <xf numFmtId="0" fontId="44" fillId="0" borderId="0" xfId="0" applyFont="1" applyAlignment="1">
      <alignment vertical="center"/>
    </xf>
    <xf numFmtId="1" fontId="0" fillId="0" borderId="0" xfId="0" applyNumberFormat="1"/>
    <xf numFmtId="0" fontId="42" fillId="0" borderId="5" xfId="0" applyFont="1" applyBorder="1" applyAlignment="1">
      <alignment horizontal="left" vertical="center"/>
    </xf>
    <xf numFmtId="0" fontId="42" fillId="0" borderId="5" xfId="0" applyFont="1" applyBorder="1" applyAlignment="1">
      <alignment horizontal="center" vertical="center"/>
    </xf>
    <xf numFmtId="0" fontId="42" fillId="0" borderId="5" xfId="0" applyFont="1" applyBorder="1" applyAlignment="1">
      <alignment horizontal="center" vertical="center" wrapText="1"/>
    </xf>
    <xf numFmtId="165" fontId="42" fillId="0" borderId="5" xfId="0" applyNumberFormat="1" applyFont="1" applyBorder="1" applyAlignment="1">
      <alignment horizontal="center" vertical="center"/>
    </xf>
    <xf numFmtId="1" fontId="42" fillId="0" borderId="5" xfId="0" applyNumberFormat="1" applyFont="1" applyBorder="1" applyAlignment="1">
      <alignment horizontal="center" vertical="center"/>
    </xf>
    <xf numFmtId="0" fontId="41" fillId="2" borderId="22" xfId="0" applyFont="1" applyFill="1" applyBorder="1" applyAlignment="1">
      <alignment vertical="center"/>
    </xf>
    <xf numFmtId="0" fontId="0" fillId="2" borderId="23" xfId="0" applyFill="1" applyBorder="1" applyAlignment="1">
      <alignment horizontal="center" vertical="center"/>
    </xf>
    <xf numFmtId="1" fontId="41" fillId="0" borderId="15" xfId="0" applyNumberFormat="1" applyFont="1" applyBorder="1" applyAlignment="1">
      <alignment horizontal="center" vertical="center"/>
    </xf>
    <xf numFmtId="1" fontId="41" fillId="0" borderId="0" xfId="0" applyNumberFormat="1" applyFont="1" applyAlignment="1">
      <alignment horizontal="center"/>
    </xf>
    <xf numFmtId="1" fontId="41" fillId="0" borderId="8" xfId="0" applyNumberFormat="1" applyFont="1" applyBorder="1" applyAlignment="1">
      <alignment horizontal="center" vertical="center"/>
    </xf>
    <xf numFmtId="1" fontId="41" fillId="0" borderId="9" xfId="0" applyNumberFormat="1" applyFont="1" applyBorder="1" applyAlignment="1">
      <alignment horizontal="center" vertical="center"/>
    </xf>
    <xf numFmtId="1" fontId="41" fillId="0" borderId="7" xfId="0" applyNumberFormat="1" applyFont="1" applyBorder="1" applyAlignment="1">
      <alignment horizontal="center"/>
    </xf>
    <xf numFmtId="1" fontId="41" fillId="0" borderId="11" xfId="0" applyNumberFormat="1" applyFont="1" applyBorder="1" applyAlignment="1">
      <alignment horizontal="center"/>
    </xf>
    <xf numFmtId="1" fontId="41" fillId="0" borderId="1" xfId="0" applyNumberFormat="1" applyFont="1" applyBorder="1" applyAlignment="1">
      <alignment horizontal="center"/>
    </xf>
    <xf numFmtId="169" fontId="0" fillId="0" borderId="0" xfId="0" applyNumberFormat="1"/>
    <xf numFmtId="1" fontId="41" fillId="0" borderId="13" xfId="0" applyNumberFormat="1" applyFont="1" applyBorder="1" applyAlignment="1">
      <alignment horizontal="center" vertical="center"/>
    </xf>
    <xf numFmtId="1" fontId="41" fillId="0" borderId="14" xfId="0" applyNumberFormat="1" applyFont="1" applyBorder="1" applyAlignment="1">
      <alignment horizontal="center" vertical="center"/>
    </xf>
    <xf numFmtId="1" fontId="41" fillId="2" borderId="15" xfId="0" applyNumberFormat="1" applyFont="1" applyFill="1" applyBorder="1" applyAlignment="1">
      <alignment horizontal="center"/>
    </xf>
    <xf numFmtId="1" fontId="41" fillId="2" borderId="15" xfId="0" applyNumberFormat="1" applyFont="1" applyFill="1" applyBorder="1" applyAlignment="1">
      <alignment horizontal="center" vertical="center"/>
    </xf>
    <xf numFmtId="0" fontId="41" fillId="6" borderId="17" xfId="0" applyFont="1" applyFill="1" applyBorder="1" applyAlignment="1">
      <alignment vertical="center"/>
    </xf>
    <xf numFmtId="1" fontId="41" fillId="6" borderId="5" xfId="0" applyNumberFormat="1" applyFont="1" applyFill="1" applyBorder="1" applyAlignment="1">
      <alignment horizontal="center" vertical="center"/>
    </xf>
    <xf numFmtId="165" fontId="10" fillId="0" borderId="5" xfId="2" applyNumberFormat="1" applyFont="1" applyBorder="1" applyAlignment="1" applyProtection="1">
      <alignment horizontal="center" vertical="center"/>
      <protection hidden="1"/>
    </xf>
    <xf numFmtId="167" fontId="86" fillId="4" borderId="5" xfId="0" applyNumberFormat="1" applyFont="1" applyFill="1" applyBorder="1" applyAlignment="1" applyProtection="1">
      <alignment horizontal="center" vertical="center" wrapText="1"/>
      <protection locked="0"/>
    </xf>
    <xf numFmtId="166" fontId="86" fillId="4" borderId="5" xfId="0" applyNumberFormat="1" applyFont="1" applyFill="1" applyBorder="1" applyAlignment="1" applyProtection="1">
      <alignment horizontal="center" vertical="center" wrapText="1"/>
      <protection locked="0"/>
    </xf>
    <xf numFmtId="4" fontId="88" fillId="4" borderId="5" xfId="0" applyNumberFormat="1" applyFont="1" applyFill="1" applyBorder="1" applyAlignment="1" applyProtection="1">
      <alignment horizontal="center" vertical="center" wrapText="1"/>
      <protection locked="0"/>
    </xf>
    <xf numFmtId="3" fontId="86" fillId="4" borderId="5" xfId="0" applyNumberFormat="1" applyFont="1" applyFill="1" applyBorder="1" applyAlignment="1" applyProtection="1">
      <alignment horizontal="center" vertical="center" wrapText="1"/>
      <protection locked="0"/>
    </xf>
    <xf numFmtId="0" fontId="86" fillId="0" borderId="5" xfId="0" applyFont="1" applyBorder="1" applyAlignment="1" applyProtection="1">
      <alignment horizontal="center" wrapText="1"/>
      <protection locked="0"/>
    </xf>
    <xf numFmtId="2" fontId="89" fillId="4" borderId="5" xfId="0" applyNumberFormat="1" applyFont="1" applyFill="1" applyBorder="1" applyAlignment="1" applyProtection="1">
      <alignment horizontal="center" vertical="center" wrapText="1"/>
      <protection locked="0"/>
    </xf>
    <xf numFmtId="0" fontId="86" fillId="4" borderId="5" xfId="0" applyFont="1" applyFill="1" applyBorder="1" applyAlignment="1" applyProtection="1">
      <alignment horizontal="center" vertical="top" wrapText="1"/>
      <protection locked="0"/>
    </xf>
    <xf numFmtId="1" fontId="85" fillId="0" borderId="5" xfId="0" applyNumberFormat="1" applyFont="1" applyBorder="1" applyAlignment="1" applyProtection="1">
      <alignment horizontal="center" vertical="center"/>
      <protection locked="0"/>
    </xf>
    <xf numFmtId="2" fontId="86" fillId="4" borderId="5" xfId="0" applyNumberFormat="1" applyFont="1" applyFill="1" applyBorder="1" applyAlignment="1" applyProtection="1">
      <alignment horizontal="center" vertical="top" wrapText="1"/>
      <protection locked="0"/>
    </xf>
    <xf numFmtId="0" fontId="86" fillId="4" borderId="5" xfId="0" applyFont="1" applyFill="1" applyBorder="1" applyAlignment="1" applyProtection="1">
      <alignment horizontal="center" vertical="center" wrapText="1"/>
      <protection locked="0"/>
    </xf>
    <xf numFmtId="165" fontId="87" fillId="4" borderId="5" xfId="0" applyNumberFormat="1" applyFont="1" applyFill="1" applyBorder="1" applyAlignment="1" applyProtection="1">
      <alignment horizontal="center" vertical="center"/>
      <protection locked="0"/>
    </xf>
    <xf numFmtId="1" fontId="87" fillId="4" borderId="5" xfId="0" applyNumberFormat="1" applyFont="1" applyFill="1" applyBorder="1" applyAlignment="1" applyProtection="1">
      <alignment horizontal="center" vertical="center"/>
      <protection locked="0"/>
    </xf>
    <xf numFmtId="165" fontId="88" fillId="4" borderId="5" xfId="2" applyNumberFormat="1" applyFont="1" applyFill="1" applyBorder="1" applyAlignment="1" applyProtection="1">
      <alignment horizontal="center" vertical="center"/>
      <protection locked="0"/>
    </xf>
    <xf numFmtId="1" fontId="88" fillId="4" borderId="5" xfId="2" applyNumberFormat="1" applyFont="1" applyFill="1" applyBorder="1" applyAlignment="1" applyProtection="1">
      <alignment horizontal="center" vertical="center"/>
      <protection locked="0"/>
    </xf>
    <xf numFmtId="164" fontId="88" fillId="4" borderId="5" xfId="2" applyNumberFormat="1" applyFont="1" applyFill="1" applyBorder="1" applyAlignment="1" applyProtection="1">
      <alignment horizontal="center" vertical="center"/>
      <protection locked="0"/>
    </xf>
    <xf numFmtId="165" fontId="10" fillId="4" borderId="5" xfId="2" applyNumberFormat="1" applyFont="1" applyFill="1" applyBorder="1" applyAlignment="1" applyProtection="1">
      <alignment horizontal="center" vertical="center"/>
      <protection locked="0"/>
    </xf>
    <xf numFmtId="1" fontId="86" fillId="4" borderId="5" xfId="0" applyNumberFormat="1" applyFont="1" applyFill="1" applyBorder="1" applyAlignment="1" applyProtection="1">
      <alignment horizontal="center" vertical="center"/>
      <protection locked="0"/>
    </xf>
    <xf numFmtId="164" fontId="86" fillId="4" borderId="5" xfId="0" applyNumberFormat="1" applyFont="1" applyFill="1" applyBorder="1" applyAlignment="1" applyProtection="1">
      <alignment horizontal="center" vertical="center"/>
      <protection locked="0"/>
    </xf>
    <xf numFmtId="9" fontId="86" fillId="4" borderId="5" xfId="0" applyNumberFormat="1" applyFont="1" applyFill="1" applyBorder="1" applyAlignment="1" applyProtection="1">
      <alignment horizontal="center" vertical="center"/>
      <protection locked="0"/>
    </xf>
    <xf numFmtId="165" fontId="86" fillId="4" borderId="5" xfId="0" applyNumberFormat="1" applyFont="1" applyFill="1" applyBorder="1" applyAlignment="1" applyProtection="1">
      <alignment horizontal="center" vertical="center"/>
      <protection locked="0"/>
    </xf>
    <xf numFmtId="2" fontId="87" fillId="4" borderId="5" xfId="0" applyNumberFormat="1" applyFont="1" applyFill="1" applyBorder="1" applyAlignment="1" applyProtection="1">
      <alignment horizontal="center" vertical="center"/>
      <protection locked="0"/>
    </xf>
    <xf numFmtId="164" fontId="87" fillId="4" borderId="5" xfId="0" applyNumberFormat="1" applyFont="1" applyFill="1" applyBorder="1" applyAlignment="1" applyProtection="1">
      <alignment horizontal="center" vertical="center"/>
      <protection locked="0"/>
    </xf>
    <xf numFmtId="1" fontId="88" fillId="4" borderId="5" xfId="0" applyNumberFormat="1" applyFont="1" applyFill="1" applyBorder="1" applyAlignment="1" applyProtection="1">
      <alignment horizontal="center" vertical="center"/>
      <protection locked="0"/>
    </xf>
    <xf numFmtId="2" fontId="88" fillId="4" borderId="5" xfId="0" applyNumberFormat="1" applyFont="1" applyFill="1" applyBorder="1" applyAlignment="1" applyProtection="1">
      <alignment horizontal="center"/>
      <protection locked="0"/>
    </xf>
    <xf numFmtId="1" fontId="88" fillId="4" borderId="5" xfId="0" applyNumberFormat="1" applyFont="1" applyFill="1" applyBorder="1" applyAlignment="1" applyProtection="1">
      <alignment horizontal="center"/>
      <protection locked="0"/>
    </xf>
    <xf numFmtId="0" fontId="13" fillId="5" borderId="5" xfId="0" applyFont="1" applyFill="1" applyBorder="1" applyAlignment="1" applyProtection="1">
      <alignment vertical="center"/>
      <protection locked="0"/>
    </xf>
    <xf numFmtId="0" fontId="51" fillId="3" borderId="5" xfId="0" applyFont="1" applyFill="1" applyBorder="1" applyProtection="1">
      <protection locked="0"/>
    </xf>
    <xf numFmtId="0" fontId="63" fillId="5" borderId="5" xfId="0" applyFont="1" applyFill="1" applyBorder="1" applyAlignment="1" applyProtection="1">
      <alignment horizontal="center" vertical="top" wrapText="1"/>
      <protection locked="0"/>
    </xf>
    <xf numFmtId="0" fontId="84" fillId="0" borderId="15" xfId="0" applyFont="1" applyBorder="1" applyAlignment="1" applyProtection="1">
      <alignment horizontal="center" vertical="center"/>
      <protection locked="0"/>
    </xf>
    <xf numFmtId="164" fontId="16" fillId="0" borderId="5" xfId="0" applyNumberFormat="1" applyFont="1" applyBorder="1" applyAlignment="1" applyProtection="1">
      <alignment horizontal="center" vertical="center" wrapText="1"/>
      <protection locked="0"/>
    </xf>
    <xf numFmtId="164" fontId="63" fillId="0" borderId="5" xfId="0" applyNumberFormat="1" applyFont="1" applyBorder="1" applyAlignment="1" applyProtection="1">
      <alignment horizontal="center" vertical="center"/>
      <protection locked="0"/>
    </xf>
    <xf numFmtId="168" fontId="15" fillId="0" borderId="5" xfId="0" applyNumberFormat="1" applyFont="1" applyBorder="1" applyAlignment="1" applyProtection="1">
      <alignment horizontal="center" vertical="center"/>
      <protection locked="0"/>
    </xf>
    <xf numFmtId="0" fontId="84" fillId="4" borderId="5" xfId="0" applyFont="1" applyFill="1" applyBorder="1" applyAlignment="1" applyProtection="1">
      <alignment horizontal="center" vertical="center"/>
      <protection locked="0"/>
    </xf>
    <xf numFmtId="1" fontId="75" fillId="5" borderId="5" xfId="0" applyNumberFormat="1" applyFont="1" applyFill="1" applyBorder="1" applyAlignment="1" applyProtection="1">
      <alignment horizontal="center" vertical="center"/>
      <protection locked="0"/>
    </xf>
    <xf numFmtId="0" fontId="104" fillId="5" borderId="5" xfId="0" applyFont="1" applyFill="1" applyBorder="1" applyAlignment="1" applyProtection="1">
      <alignment horizontal="center" vertical="top"/>
      <protection locked="0"/>
    </xf>
    <xf numFmtId="164" fontId="107" fillId="4" borderId="5" xfId="0" applyNumberFormat="1" applyFont="1" applyFill="1" applyBorder="1" applyAlignment="1" applyProtection="1">
      <alignment horizontal="center"/>
      <protection locked="0"/>
    </xf>
    <xf numFmtId="0" fontId="16" fillId="5" borderId="5" xfId="0" applyFont="1" applyFill="1" applyBorder="1" applyAlignment="1" applyProtection="1">
      <alignment horizontal="center" vertical="center"/>
      <protection locked="0"/>
    </xf>
    <xf numFmtId="164" fontId="86" fillId="0" borderId="5" xfId="0" applyNumberFormat="1" applyFont="1" applyBorder="1" applyAlignment="1" applyProtection="1">
      <alignment horizontal="center" vertical="top" wrapText="1"/>
      <protection hidden="1"/>
    </xf>
    <xf numFmtId="0" fontId="24" fillId="4" borderId="0" xfId="0" applyFont="1" applyFill="1" applyAlignment="1" applyProtection="1">
      <alignment horizontal="right" vertical="center"/>
      <protection hidden="1"/>
    </xf>
    <xf numFmtId="0" fontId="8" fillId="0" borderId="0" xfId="0" applyFont="1" applyAlignment="1" applyProtection="1">
      <alignment horizontal="right" vertical="center"/>
      <protection hidden="1"/>
    </xf>
    <xf numFmtId="0" fontId="9" fillId="0" borderId="0" xfId="0" applyFont="1" applyProtection="1">
      <protection hidden="1"/>
    </xf>
    <xf numFmtId="0" fontId="9" fillId="4" borderId="0" xfId="0" applyFont="1" applyFill="1" applyProtection="1">
      <protection hidden="1"/>
    </xf>
    <xf numFmtId="49" fontId="8" fillId="0" borderId="0" xfId="0" applyNumberFormat="1" applyFont="1" applyAlignment="1" applyProtection="1">
      <alignment vertical="center"/>
      <protection hidden="1"/>
    </xf>
    <xf numFmtId="0" fontId="9" fillId="0" borderId="0" xfId="0" applyFont="1" applyAlignment="1" applyProtection="1">
      <alignment horizontal="center"/>
      <protection hidden="1"/>
    </xf>
    <xf numFmtId="0" fontId="66" fillId="0" borderId="11" xfId="0" applyFont="1" applyBorder="1" applyAlignment="1" applyProtection="1">
      <alignment vertical="top"/>
      <protection hidden="1"/>
    </xf>
    <xf numFmtId="0" fontId="66" fillId="0" borderId="1" xfId="0" applyFont="1" applyBorder="1" applyAlignment="1" applyProtection="1">
      <alignment vertical="top" wrapText="1"/>
      <protection hidden="1"/>
    </xf>
    <xf numFmtId="0" fontId="9" fillId="0" borderId="1" xfId="0" applyFont="1" applyBorder="1" applyAlignment="1" applyProtection="1">
      <alignment vertical="top" wrapText="1"/>
      <protection hidden="1"/>
    </xf>
    <xf numFmtId="0" fontId="9" fillId="0" borderId="12" xfId="0" applyFont="1" applyBorder="1" applyAlignment="1" applyProtection="1">
      <alignment vertical="top" wrapText="1"/>
      <protection hidden="1"/>
    </xf>
    <xf numFmtId="0" fontId="25" fillId="0" borderId="8" xfId="0" applyFont="1" applyBorder="1" applyAlignment="1" applyProtection="1">
      <alignment horizontal="right"/>
      <protection hidden="1"/>
    </xf>
    <xf numFmtId="0" fontId="25" fillId="4" borderId="10" xfId="0" applyFont="1" applyFill="1" applyBorder="1" applyAlignment="1" applyProtection="1">
      <alignment horizontal="left" vertical="top" wrapText="1"/>
      <protection hidden="1"/>
    </xf>
    <xf numFmtId="0" fontId="26" fillId="2" borderId="5" xfId="0" applyFont="1" applyFill="1" applyBorder="1" applyAlignment="1" applyProtection="1">
      <alignment horizontal="center" vertical="center" wrapText="1"/>
      <protection hidden="1"/>
    </xf>
    <xf numFmtId="167" fontId="9" fillId="0" borderId="5" xfId="0" applyNumberFormat="1" applyFont="1" applyBorder="1" applyAlignment="1" applyProtection="1">
      <alignment horizontal="center" vertical="center" wrapText="1"/>
      <protection hidden="1"/>
    </xf>
    <xf numFmtId="167" fontId="25" fillId="0" borderId="5" xfId="0" applyNumberFormat="1" applyFont="1" applyBorder="1" applyAlignment="1" applyProtection="1">
      <alignment horizontal="center" vertical="center" wrapText="1"/>
      <protection hidden="1"/>
    </xf>
    <xf numFmtId="49" fontId="25" fillId="4" borderId="0" xfId="0" applyNumberFormat="1" applyFont="1" applyFill="1" applyAlignment="1" applyProtection="1">
      <alignment horizontal="right" wrapText="1"/>
      <protection hidden="1"/>
    </xf>
    <xf numFmtId="166" fontId="9" fillId="0" borderId="0" xfId="0" applyNumberFormat="1" applyFont="1" applyAlignment="1" applyProtection="1">
      <alignment horizontal="center" vertical="center" wrapText="1"/>
      <protection hidden="1"/>
    </xf>
    <xf numFmtId="167" fontId="9" fillId="0" borderId="0" xfId="0" applyNumberFormat="1" applyFont="1" applyAlignment="1" applyProtection="1">
      <alignment horizontal="center" vertical="center" wrapText="1"/>
      <protection hidden="1"/>
    </xf>
    <xf numFmtId="4" fontId="10" fillId="0" borderId="1" xfId="0" applyNumberFormat="1" applyFont="1" applyBorder="1" applyAlignment="1" applyProtection="1">
      <alignment horizontal="right" vertical="center" wrapText="1"/>
      <protection hidden="1"/>
    </xf>
    <xf numFmtId="167" fontId="7" fillId="0" borderId="0" xfId="0" applyNumberFormat="1" applyFont="1" applyAlignment="1" applyProtection="1">
      <alignment horizontal="center" vertical="center" wrapText="1"/>
      <protection hidden="1"/>
    </xf>
    <xf numFmtId="166" fontId="7" fillId="0" borderId="0" xfId="0" applyNumberFormat="1" applyFont="1" applyAlignment="1" applyProtection="1">
      <alignment horizontal="center" vertical="center" wrapText="1"/>
      <protection hidden="1"/>
    </xf>
    <xf numFmtId="49" fontId="9" fillId="0" borderId="0" xfId="0" applyNumberFormat="1" applyFont="1" applyAlignment="1" applyProtection="1">
      <alignment horizontal="right" wrapText="1"/>
      <protection hidden="1"/>
    </xf>
    <xf numFmtId="3" fontId="9" fillId="0" borderId="5" xfId="0" applyNumberFormat="1" applyFont="1" applyBorder="1" applyAlignment="1" applyProtection="1">
      <alignment horizontal="center" vertical="center" wrapText="1"/>
      <protection hidden="1"/>
    </xf>
    <xf numFmtId="0" fontId="26" fillId="4" borderId="3" xfId="0" applyFont="1" applyFill="1" applyBorder="1" applyAlignment="1" applyProtection="1">
      <alignment wrapText="1"/>
      <protection hidden="1"/>
    </xf>
    <xf numFmtId="166" fontId="27" fillId="0" borderId="5" xfId="0" applyNumberFormat="1" applyFont="1" applyBorder="1" applyAlignment="1" applyProtection="1">
      <alignment horizontal="center" vertical="center" wrapText="1"/>
      <protection hidden="1"/>
    </xf>
    <xf numFmtId="166" fontId="6" fillId="4" borderId="1" xfId="0" applyNumberFormat="1" applyFont="1" applyFill="1" applyBorder="1" applyAlignment="1" applyProtection="1">
      <alignment horizontal="center" wrapText="1"/>
      <protection hidden="1"/>
    </xf>
    <xf numFmtId="0" fontId="7" fillId="4" borderId="0" xfId="0" applyFont="1" applyFill="1" applyAlignment="1" applyProtection="1">
      <alignment horizontal="center" wrapText="1"/>
      <protection hidden="1"/>
    </xf>
    <xf numFmtId="166" fontId="6" fillId="0" borderId="12" xfId="0" applyNumberFormat="1" applyFont="1" applyBorder="1" applyAlignment="1" applyProtection="1">
      <alignment horizontal="center" wrapText="1"/>
      <protection hidden="1"/>
    </xf>
    <xf numFmtId="0" fontId="25" fillId="4" borderId="1" xfId="0" applyFont="1" applyFill="1" applyBorder="1" applyAlignment="1" applyProtection="1">
      <alignment horizontal="right" wrapText="1"/>
      <protection hidden="1"/>
    </xf>
    <xf numFmtId="0" fontId="9" fillId="4" borderId="1" xfId="0" applyFont="1" applyFill="1" applyBorder="1" applyAlignment="1" applyProtection="1">
      <alignment wrapText="1"/>
      <protection hidden="1"/>
    </xf>
    <xf numFmtId="167" fontId="27" fillId="0" borderId="5" xfId="0" applyNumberFormat="1" applyFont="1" applyBorder="1" applyAlignment="1" applyProtection="1">
      <alignment horizontal="center" vertical="center" wrapText="1"/>
      <protection hidden="1"/>
    </xf>
    <xf numFmtId="0" fontId="25" fillId="0" borderId="0" xfId="0" applyFont="1" applyAlignment="1" applyProtection="1">
      <alignment horizontal="right"/>
      <protection hidden="1"/>
    </xf>
    <xf numFmtId="0" fontId="7" fillId="4" borderId="0" xfId="0" applyFont="1" applyFill="1" applyAlignment="1" applyProtection="1">
      <alignment wrapText="1"/>
      <protection hidden="1"/>
    </xf>
    <xf numFmtId="0" fontId="7" fillId="0" borderId="0" xfId="0" applyFont="1" applyAlignment="1" applyProtection="1">
      <alignment horizontal="left"/>
      <protection hidden="1"/>
    </xf>
    <xf numFmtId="0" fontId="8" fillId="0" borderId="1" xfId="0" applyFont="1" applyBorder="1" applyAlignment="1" applyProtection="1">
      <alignment horizontal="left"/>
      <protection hidden="1"/>
    </xf>
    <xf numFmtId="0" fontId="14" fillId="2" borderId="5" xfId="0" applyFont="1" applyFill="1" applyBorder="1" applyAlignment="1" applyProtection="1">
      <alignment horizontal="center" vertical="center" wrapText="1"/>
      <protection hidden="1"/>
    </xf>
    <xf numFmtId="167" fontId="16" fillId="0" borderId="5" xfId="0" applyNumberFormat="1" applyFont="1" applyBorder="1" applyAlignment="1" applyProtection="1">
      <alignment horizontal="center" vertical="center" wrapText="1"/>
      <protection hidden="1"/>
    </xf>
    <xf numFmtId="0" fontId="27" fillId="0" borderId="2" xfId="0" applyFont="1" applyBorder="1" applyAlignment="1" applyProtection="1">
      <alignment wrapText="1"/>
      <protection hidden="1"/>
    </xf>
    <xf numFmtId="0" fontId="27" fillId="0" borderId="3" xfId="0" applyFont="1" applyBorder="1" applyAlignment="1" applyProtection="1">
      <alignment wrapText="1"/>
      <protection hidden="1"/>
    </xf>
    <xf numFmtId="3" fontId="16" fillId="0" borderId="5" xfId="0" applyNumberFormat="1" applyFont="1" applyBorder="1" applyAlignment="1" applyProtection="1">
      <alignment horizontal="center" vertical="center" wrapText="1"/>
      <protection hidden="1"/>
    </xf>
    <xf numFmtId="3" fontId="27" fillId="0" borderId="5" xfId="0" applyNumberFormat="1" applyFont="1" applyBorder="1" applyAlignment="1" applyProtection="1">
      <alignment horizontal="center" vertical="center" wrapText="1"/>
      <protection hidden="1"/>
    </xf>
    <xf numFmtId="0" fontId="22" fillId="0" borderId="0" xfId="0" applyFont="1" applyProtection="1">
      <protection hidden="1"/>
    </xf>
    <xf numFmtId="0" fontId="10" fillId="0" borderId="0" xfId="0" applyFont="1" applyAlignment="1" applyProtection="1">
      <alignment vertical="center"/>
      <protection hidden="1"/>
    </xf>
    <xf numFmtId="0" fontId="10" fillId="0" borderId="0" xfId="0" applyFont="1" applyAlignment="1" applyProtection="1">
      <alignment horizontal="center"/>
      <protection hidden="1"/>
    </xf>
    <xf numFmtId="165" fontId="10" fillId="0" borderId="0" xfId="2" applyNumberFormat="1" applyFont="1" applyAlignment="1" applyProtection="1">
      <alignment horizontal="center" vertical="center"/>
      <protection hidden="1"/>
    </xf>
    <xf numFmtId="0" fontId="79" fillId="4" borderId="0" xfId="0" applyFont="1" applyFill="1" applyAlignment="1" applyProtection="1">
      <alignment horizontal="right"/>
      <protection hidden="1"/>
    </xf>
    <xf numFmtId="2" fontId="80" fillId="4" borderId="0" xfId="0" applyNumberFormat="1" applyFont="1" applyFill="1" applyAlignment="1" applyProtection="1">
      <alignment horizontal="center" vertical="center"/>
      <protection hidden="1"/>
    </xf>
    <xf numFmtId="0" fontId="9" fillId="4" borderId="0" xfId="0" applyFont="1" applyFill="1" applyAlignment="1" applyProtection="1">
      <alignment horizontal="right"/>
      <protection hidden="1"/>
    </xf>
    <xf numFmtId="0" fontId="9" fillId="2" borderId="13"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5" xfId="0" applyFont="1" applyFill="1" applyBorder="1" applyAlignment="1" applyProtection="1">
      <alignment horizontal="center" vertical="center" wrapText="1"/>
      <protection hidden="1"/>
    </xf>
    <xf numFmtId="2" fontId="68" fillId="4" borderId="0" xfId="0" applyNumberFormat="1" applyFont="1" applyFill="1" applyAlignment="1" applyProtection="1">
      <alignment horizontal="center" vertical="center"/>
      <protection hidden="1"/>
    </xf>
    <xf numFmtId="0" fontId="8" fillId="4" borderId="0" xfId="0" applyFont="1" applyFill="1" applyProtection="1">
      <protection hidden="1"/>
    </xf>
    <xf numFmtId="0" fontId="26" fillId="2" borderId="5" xfId="0" applyFont="1" applyFill="1" applyBorder="1" applyAlignment="1" applyProtection="1">
      <alignment horizontal="center" wrapText="1"/>
      <protection hidden="1"/>
    </xf>
    <xf numFmtId="0" fontId="47" fillId="2" borderId="5" xfId="0" applyFont="1" applyFill="1" applyBorder="1" applyAlignment="1" applyProtection="1">
      <alignment horizontal="center" wrapText="1"/>
      <protection hidden="1"/>
    </xf>
    <xf numFmtId="2" fontId="69" fillId="4" borderId="0" xfId="0" applyNumberFormat="1" applyFont="1" applyFill="1" applyAlignment="1" applyProtection="1">
      <alignment horizontal="center" vertical="center"/>
      <protection hidden="1"/>
    </xf>
    <xf numFmtId="0" fontId="7" fillId="4" borderId="0" xfId="0" applyFont="1" applyFill="1" applyProtection="1">
      <protection hidden="1"/>
    </xf>
    <xf numFmtId="0" fontId="46" fillId="0" borderId="5" xfId="0" applyFont="1" applyBorder="1" applyAlignment="1" applyProtection="1">
      <alignment horizontal="center" vertical="center"/>
      <protection hidden="1"/>
    </xf>
    <xf numFmtId="0" fontId="46" fillId="0" borderId="2" xfId="0" applyFont="1" applyBorder="1" applyAlignment="1" applyProtection="1">
      <alignment horizontal="center" vertical="center"/>
      <protection hidden="1"/>
    </xf>
    <xf numFmtId="0" fontId="46" fillId="0" borderId="4" xfId="0" applyFont="1" applyBorder="1" applyAlignment="1" applyProtection="1">
      <alignment horizontal="center" vertical="center"/>
      <protection hidden="1"/>
    </xf>
    <xf numFmtId="2" fontId="70" fillId="4" borderId="0" xfId="0" applyNumberFormat="1" applyFont="1" applyFill="1" applyAlignment="1" applyProtection="1">
      <alignment horizontal="center" vertical="center"/>
      <protection hidden="1"/>
    </xf>
    <xf numFmtId="0" fontId="46" fillId="4" borderId="0" xfId="0" applyFont="1" applyFill="1" applyProtection="1">
      <protection hidden="1"/>
    </xf>
    <xf numFmtId="0" fontId="26" fillId="4" borderId="5" xfId="0" applyFont="1" applyFill="1" applyBorder="1" applyAlignment="1" applyProtection="1">
      <alignment horizontal="center" vertical="center"/>
      <protection hidden="1"/>
    </xf>
    <xf numFmtId="0" fontId="50" fillId="4" borderId="5" xfId="0" applyFont="1" applyFill="1" applyBorder="1" applyAlignment="1" applyProtection="1">
      <alignment horizontal="center" vertical="center"/>
      <protection hidden="1"/>
    </xf>
    <xf numFmtId="1" fontId="75" fillId="4" borderId="2" xfId="0" applyNumberFormat="1" applyFont="1" applyFill="1" applyBorder="1" applyAlignment="1" applyProtection="1">
      <alignment horizontal="center" vertical="center"/>
      <protection hidden="1"/>
    </xf>
    <xf numFmtId="0" fontId="99" fillId="2" borderId="5" xfId="0" applyFont="1" applyFill="1" applyBorder="1" applyAlignment="1" applyProtection="1">
      <alignment horizontal="center" vertical="center" wrapText="1"/>
      <protection hidden="1"/>
    </xf>
    <xf numFmtId="0" fontId="99" fillId="2" borderId="2" xfId="0" applyFont="1" applyFill="1" applyBorder="1" applyAlignment="1" applyProtection="1">
      <alignment horizontal="center" vertical="center" wrapText="1"/>
      <protection hidden="1"/>
    </xf>
    <xf numFmtId="0" fontId="99" fillId="2" borderId="4" xfId="0" applyFont="1" applyFill="1" applyBorder="1" applyAlignment="1" applyProtection="1">
      <alignment horizontal="center" vertical="center" wrapText="1"/>
      <protection hidden="1"/>
    </xf>
    <xf numFmtId="2" fontId="100" fillId="4" borderId="0" xfId="0" applyNumberFormat="1" applyFont="1" applyFill="1" applyAlignment="1" applyProtection="1">
      <alignment horizontal="center" vertical="center"/>
      <protection hidden="1"/>
    </xf>
    <xf numFmtId="0" fontId="99" fillId="4" borderId="0" xfId="0" applyFont="1" applyFill="1" applyProtection="1">
      <protection hidden="1"/>
    </xf>
    <xf numFmtId="49" fontId="7" fillId="4" borderId="5" xfId="0" applyNumberFormat="1" applyFont="1" applyFill="1" applyBorder="1" applyAlignment="1" applyProtection="1">
      <alignment horizontal="center" vertical="center"/>
      <protection hidden="1"/>
    </xf>
    <xf numFmtId="0" fontId="66" fillId="4" borderId="5" xfId="0" applyFont="1" applyFill="1" applyBorder="1" applyAlignment="1" applyProtection="1">
      <alignment horizontal="center" vertical="center"/>
      <protection hidden="1"/>
    </xf>
    <xf numFmtId="1" fontId="75" fillId="4" borderId="5" xfId="0" applyNumberFormat="1" applyFont="1" applyFill="1" applyBorder="1" applyAlignment="1" applyProtection="1">
      <alignment horizontal="center" vertical="center"/>
      <protection hidden="1"/>
    </xf>
    <xf numFmtId="0" fontId="26" fillId="0" borderId="3" xfId="0" applyFont="1" applyBorder="1" applyAlignment="1" applyProtection="1">
      <alignment vertical="center" wrapText="1"/>
      <protection hidden="1"/>
    </xf>
    <xf numFmtId="0" fontId="47" fillId="2" borderId="5" xfId="0" applyFont="1" applyFill="1" applyBorder="1" applyAlignment="1" applyProtection="1">
      <alignment horizontal="center" vertical="center" wrapText="1"/>
      <protection hidden="1"/>
    </xf>
    <xf numFmtId="0" fontId="9" fillId="2" borderId="5" xfId="0" applyFont="1" applyFill="1" applyBorder="1" applyAlignment="1" applyProtection="1">
      <alignment vertical="center" wrapText="1"/>
      <protection hidden="1"/>
    </xf>
    <xf numFmtId="1" fontId="22" fillId="4" borderId="5" xfId="0" applyNumberFormat="1" applyFont="1" applyFill="1" applyBorder="1" applyAlignment="1" applyProtection="1">
      <alignment horizontal="center" vertical="center"/>
      <protection hidden="1"/>
    </xf>
    <xf numFmtId="0" fontId="46" fillId="4" borderId="0" xfId="0" applyFont="1" applyFill="1" applyAlignment="1" applyProtection="1">
      <alignment horizontal="center" vertical="center"/>
      <protection hidden="1"/>
    </xf>
    <xf numFmtId="49" fontId="10" fillId="4" borderId="5" xfId="0" applyNumberFormat="1" applyFont="1" applyFill="1" applyBorder="1" applyAlignment="1" applyProtection="1">
      <alignment horizontal="center" vertical="center"/>
      <protection hidden="1"/>
    </xf>
    <xf numFmtId="0" fontId="26" fillId="0" borderId="4" xfId="0" applyFont="1" applyBorder="1" applyAlignment="1" applyProtection="1">
      <alignment vertical="center" wrapText="1"/>
      <protection hidden="1"/>
    </xf>
    <xf numFmtId="0" fontId="98" fillId="0" borderId="0" xfId="0" applyFont="1" applyAlignment="1" applyProtection="1">
      <alignment horizontal="center" vertical="top"/>
      <protection hidden="1"/>
    </xf>
    <xf numFmtId="0" fontId="98" fillId="0" borderId="4" xfId="0" applyFont="1" applyBorder="1" applyAlignment="1" applyProtection="1">
      <alignment horizontal="left" vertical="center"/>
      <protection hidden="1"/>
    </xf>
    <xf numFmtId="0" fontId="10" fillId="0" borderId="0" xfId="0" applyFont="1" applyProtection="1">
      <protection hidden="1"/>
    </xf>
    <xf numFmtId="0" fontId="98" fillId="0" borderId="11" xfId="0" applyFont="1" applyBorder="1" applyAlignment="1" applyProtection="1">
      <alignment horizontal="center" vertical="top"/>
      <protection hidden="1"/>
    </xf>
    <xf numFmtId="0" fontId="105" fillId="0" borderId="3" xfId="0" applyFont="1" applyBorder="1" applyAlignment="1" applyProtection="1">
      <alignment vertical="top"/>
      <protection hidden="1"/>
    </xf>
    <xf numFmtId="0" fontId="29" fillId="2" borderId="5" xfId="0" applyFont="1" applyFill="1" applyBorder="1" applyAlignment="1" applyProtection="1">
      <alignment horizontal="center" vertical="center" wrapText="1"/>
      <protection hidden="1"/>
    </xf>
    <xf numFmtId="0" fontId="33" fillId="0" borderId="5" xfId="2" applyFont="1" applyBorder="1" applyAlignment="1" applyProtection="1">
      <alignment horizontal="center" vertical="center" wrapText="1"/>
      <protection hidden="1"/>
    </xf>
    <xf numFmtId="0" fontId="46" fillId="0" borderId="0" xfId="0" applyFont="1" applyProtection="1">
      <protection hidden="1"/>
    </xf>
    <xf numFmtId="0" fontId="16" fillId="0" borderId="24" xfId="0" applyFont="1" applyBorder="1" applyAlignment="1" applyProtection="1">
      <alignment horizontal="left" wrapText="1"/>
      <protection hidden="1"/>
    </xf>
    <xf numFmtId="1" fontId="10" fillId="0" borderId="5" xfId="2" applyNumberFormat="1" applyFont="1" applyBorder="1" applyAlignment="1" applyProtection="1">
      <alignment horizontal="center" vertical="center"/>
      <protection hidden="1"/>
    </xf>
    <xf numFmtId="1" fontId="10" fillId="4" borderId="5" xfId="2" applyNumberFormat="1" applyFont="1" applyFill="1" applyBorder="1" applyAlignment="1" applyProtection="1">
      <alignment horizontal="center" vertical="center"/>
      <protection hidden="1"/>
    </xf>
    <xf numFmtId="0" fontId="16" fillId="0" borderId="5" xfId="0" applyFont="1" applyBorder="1" applyAlignment="1" applyProtection="1">
      <alignment vertical="center" wrapText="1"/>
      <protection hidden="1"/>
    </xf>
    <xf numFmtId="165" fontId="16" fillId="0" borderId="5" xfId="0" applyNumberFormat="1" applyFont="1" applyBorder="1" applyAlignment="1" applyProtection="1">
      <alignment horizontal="center" vertical="center"/>
      <protection hidden="1"/>
    </xf>
    <xf numFmtId="1" fontId="16" fillId="0" borderId="5" xfId="0" applyNumberFormat="1" applyFont="1" applyBorder="1" applyAlignment="1" applyProtection="1">
      <alignment horizontal="center"/>
      <protection hidden="1"/>
    </xf>
    <xf numFmtId="0" fontId="74" fillId="0" borderId="0" xfId="0" applyFont="1" applyProtection="1">
      <protection hidden="1"/>
    </xf>
    <xf numFmtId="0" fontId="0" fillId="0" borderId="0" xfId="0" applyProtection="1">
      <protection hidden="1"/>
    </xf>
    <xf numFmtId="1" fontId="15" fillId="0" borderId="5" xfId="0" applyNumberFormat="1" applyFont="1" applyBorder="1" applyAlignment="1" applyProtection="1">
      <alignment horizontal="center" vertical="center"/>
      <protection hidden="1"/>
    </xf>
    <xf numFmtId="0" fontId="0" fillId="0" borderId="0" xfId="0" applyAlignment="1" applyProtection="1">
      <alignment vertical="center"/>
      <protection hidden="1"/>
    </xf>
    <xf numFmtId="0" fontId="16" fillId="0" borderId="0" xfId="0" applyFont="1" applyProtection="1">
      <protection hidden="1"/>
    </xf>
    <xf numFmtId="0" fontId="16" fillId="2" borderId="5" xfId="0" applyFont="1" applyFill="1" applyBorder="1" applyAlignment="1" applyProtection="1">
      <alignment horizontal="center" vertical="center" wrapText="1"/>
      <protection hidden="1"/>
    </xf>
    <xf numFmtId="0" fontId="10" fillId="2" borderId="5" xfId="0" applyFont="1" applyFill="1" applyBorder="1" applyAlignment="1" applyProtection="1">
      <alignment horizontal="center" vertical="center"/>
      <protection hidden="1"/>
    </xf>
    <xf numFmtId="0" fontId="33" fillId="0" borderId="14" xfId="0" applyFont="1" applyBorder="1" applyAlignment="1" applyProtection="1">
      <alignment horizontal="center" vertical="center" wrapText="1"/>
      <protection hidden="1"/>
    </xf>
    <xf numFmtId="0" fontId="33" fillId="0" borderId="0" xfId="0" applyFont="1" applyProtection="1">
      <protection hidden="1"/>
    </xf>
    <xf numFmtId="0" fontId="16" fillId="0" borderId="5" xfId="0" applyFont="1" applyBorder="1" applyAlignment="1" applyProtection="1">
      <alignment horizontal="center" vertical="center"/>
      <protection hidden="1"/>
    </xf>
    <xf numFmtId="1" fontId="16" fillId="0" borderId="5" xfId="0" applyNumberFormat="1" applyFont="1" applyBorder="1" applyAlignment="1" applyProtection="1">
      <alignment horizontal="center" vertical="center"/>
      <protection hidden="1"/>
    </xf>
    <xf numFmtId="0" fontId="16" fillId="4" borderId="25" xfId="0" applyFont="1" applyFill="1" applyBorder="1" applyAlignment="1" applyProtection="1">
      <alignment horizontal="center" vertical="center"/>
      <protection hidden="1"/>
    </xf>
    <xf numFmtId="0" fontId="16" fillId="0" borderId="5" xfId="0" applyFont="1" applyBorder="1" applyAlignment="1" applyProtection="1">
      <alignment horizontal="center" vertical="center" wrapText="1"/>
      <protection hidden="1"/>
    </xf>
    <xf numFmtId="1" fontId="16" fillId="4" borderId="5" xfId="0" applyNumberFormat="1" applyFont="1" applyFill="1" applyBorder="1" applyAlignment="1" applyProtection="1">
      <alignment horizontal="center" vertical="center"/>
      <protection hidden="1"/>
    </xf>
    <xf numFmtId="165" fontId="16" fillId="4" borderId="5" xfId="0" applyNumberFormat="1" applyFont="1" applyFill="1" applyBorder="1" applyAlignment="1" applyProtection="1">
      <alignment horizontal="center" vertical="center"/>
      <protection hidden="1"/>
    </xf>
    <xf numFmtId="1" fontId="63" fillId="0" borderId="5" xfId="0" applyNumberFormat="1" applyFont="1" applyBorder="1" applyAlignment="1" applyProtection="1">
      <alignment horizontal="center" vertical="center"/>
      <protection hidden="1"/>
    </xf>
    <xf numFmtId="0" fontId="16" fillId="0" borderId="0" xfId="0" applyFont="1" applyAlignment="1" applyProtection="1">
      <alignment vertical="top" wrapText="1"/>
      <protection hidden="1"/>
    </xf>
    <xf numFmtId="0" fontId="63" fillId="4" borderId="0" xfId="0" applyFont="1" applyFill="1" applyAlignment="1" applyProtection="1">
      <alignment horizontal="right"/>
      <protection hidden="1"/>
    </xf>
    <xf numFmtId="0" fontId="15" fillId="4" borderId="0" xfId="0" applyFont="1" applyFill="1" applyProtection="1">
      <protection hidden="1"/>
    </xf>
    <xf numFmtId="0" fontId="22" fillId="4" borderId="0" xfId="0" applyFont="1" applyFill="1" applyAlignment="1" applyProtection="1">
      <alignment vertical="center"/>
      <protection hidden="1"/>
    </xf>
    <xf numFmtId="0" fontId="22" fillId="4" borderId="0" xfId="0" applyFont="1" applyFill="1" applyAlignment="1" applyProtection="1">
      <alignment horizontal="center" vertical="center"/>
      <protection hidden="1"/>
    </xf>
    <xf numFmtId="165" fontId="68" fillId="4" borderId="0" xfId="0" applyNumberFormat="1" applyFont="1" applyFill="1" applyAlignment="1" applyProtection="1">
      <alignment horizontal="center" vertical="top"/>
      <protection hidden="1"/>
    </xf>
    <xf numFmtId="0" fontId="10" fillId="4" borderId="0" xfId="0" applyFont="1" applyFill="1" applyAlignment="1" applyProtection="1">
      <alignment horizontal="right"/>
      <protection hidden="1"/>
    </xf>
    <xf numFmtId="2" fontId="22" fillId="4" borderId="0" xfId="0" applyNumberFormat="1" applyFont="1" applyFill="1" applyAlignment="1" applyProtection="1">
      <alignment horizontal="center" vertical="center"/>
      <protection hidden="1"/>
    </xf>
    <xf numFmtId="0" fontId="14" fillId="2" borderId="5" xfId="0" applyFont="1" applyFill="1" applyBorder="1" applyAlignment="1" applyProtection="1">
      <alignment horizontal="center" wrapText="1"/>
      <protection hidden="1"/>
    </xf>
    <xf numFmtId="0" fontId="33" fillId="0" borderId="5" xfId="0" applyFont="1" applyBorder="1" applyAlignment="1" applyProtection="1">
      <alignment horizontal="center" vertical="center"/>
      <protection hidden="1"/>
    </xf>
    <xf numFmtId="0" fontId="33" fillId="0" borderId="4" xfId="0" applyFont="1" applyBorder="1" applyAlignment="1" applyProtection="1">
      <alignment horizontal="center" vertical="center"/>
      <protection hidden="1"/>
    </xf>
    <xf numFmtId="0" fontId="33" fillId="0" borderId="5" xfId="0" applyFont="1" applyBorder="1" applyAlignment="1" applyProtection="1">
      <alignment horizontal="center" vertical="center" wrapText="1"/>
      <protection hidden="1"/>
    </xf>
    <xf numFmtId="0" fontId="33" fillId="0" borderId="2" xfId="0" applyFont="1" applyBorder="1" applyAlignment="1" applyProtection="1">
      <alignment horizontal="center" vertical="center" wrapText="1"/>
      <protection hidden="1"/>
    </xf>
    <xf numFmtId="0" fontId="22" fillId="4" borderId="1" xfId="0" applyFont="1" applyFill="1" applyBorder="1" applyProtection="1">
      <protection hidden="1"/>
    </xf>
    <xf numFmtId="49" fontId="13" fillId="4" borderId="5" xfId="0" applyNumberFormat="1" applyFont="1" applyFill="1" applyBorder="1" applyAlignment="1" applyProtection="1">
      <alignment horizontal="center" vertical="center"/>
      <protection hidden="1"/>
    </xf>
    <xf numFmtId="0" fontId="22" fillId="4" borderId="1" xfId="0" applyFont="1" applyFill="1" applyBorder="1" applyAlignment="1" applyProtection="1">
      <alignment horizontal="center"/>
      <protection hidden="1"/>
    </xf>
    <xf numFmtId="0" fontId="13" fillId="4" borderId="5" xfId="0" applyFont="1" applyFill="1" applyBorder="1" applyAlignment="1" applyProtection="1">
      <alignment horizontal="center" vertical="center"/>
      <protection hidden="1"/>
    </xf>
    <xf numFmtId="0" fontId="15" fillId="0" borderId="0" xfId="2" applyFont="1" applyAlignment="1" applyProtection="1">
      <alignment vertical="center"/>
      <protection hidden="1"/>
    </xf>
    <xf numFmtId="0" fontId="12" fillId="0" borderId="0" xfId="2" applyFont="1" applyAlignment="1" applyProtection="1">
      <alignment vertical="center"/>
      <protection hidden="1"/>
    </xf>
    <xf numFmtId="1" fontId="17" fillId="0" borderId="0" xfId="2" applyNumberFormat="1" applyFont="1" applyAlignment="1" applyProtection="1">
      <alignment horizontal="center" vertical="center"/>
      <protection hidden="1"/>
    </xf>
    <xf numFmtId="165" fontId="17" fillId="0" borderId="0" xfId="2" applyNumberFormat="1" applyFont="1" applyAlignment="1" applyProtection="1">
      <alignment horizontal="center" vertical="center"/>
      <protection hidden="1"/>
    </xf>
    <xf numFmtId="0" fontId="19" fillId="0" borderId="0" xfId="0" applyFont="1" applyAlignment="1" applyProtection="1">
      <alignment vertical="center"/>
      <protection hidden="1"/>
    </xf>
    <xf numFmtId="0" fontId="13" fillId="0" borderId="0" xfId="2" applyFont="1" applyAlignment="1" applyProtection="1">
      <alignment vertical="center"/>
      <protection hidden="1"/>
    </xf>
    <xf numFmtId="0" fontId="31" fillId="0" borderId="0" xfId="0" applyFont="1" applyProtection="1">
      <protection hidden="1"/>
    </xf>
    <xf numFmtId="0" fontId="62" fillId="0" borderId="0" xfId="0" applyFont="1" applyAlignment="1" applyProtection="1">
      <alignment horizontal="center" vertical="center" wrapText="1"/>
      <protection hidden="1"/>
    </xf>
    <xf numFmtId="0" fontId="16" fillId="0" borderId="0" xfId="0" applyFont="1" applyAlignment="1" applyProtection="1">
      <alignment horizontal="left"/>
      <protection hidden="1"/>
    </xf>
    <xf numFmtId="0" fontId="16" fillId="0" borderId="0" xfId="0" applyFont="1" applyAlignment="1" applyProtection="1">
      <alignment wrapText="1"/>
      <protection hidden="1"/>
    </xf>
    <xf numFmtId="0" fontId="16" fillId="0" borderId="0" xfId="0" applyFont="1" applyAlignment="1" applyProtection="1">
      <alignment horizontal="right"/>
      <protection hidden="1"/>
    </xf>
    <xf numFmtId="0" fontId="16" fillId="0" borderId="5" xfId="0" applyFont="1" applyBorder="1" applyAlignment="1" applyProtection="1">
      <alignment horizontal="center"/>
      <protection hidden="1"/>
    </xf>
    <xf numFmtId="0" fontId="27" fillId="0" borderId="5" xfId="0" applyFont="1" applyBorder="1" applyAlignment="1" applyProtection="1">
      <alignment horizontal="center"/>
      <protection hidden="1"/>
    </xf>
    <xf numFmtId="0" fontId="16" fillId="0" borderId="1" xfId="0" applyFont="1" applyBorder="1" applyAlignment="1" applyProtection="1">
      <alignment horizontal="right"/>
      <protection hidden="1"/>
    </xf>
    <xf numFmtId="165" fontId="16" fillId="0" borderId="5" xfId="0" applyNumberFormat="1" applyFont="1" applyBorder="1" applyAlignment="1" applyProtection="1">
      <alignment horizontal="center"/>
      <protection hidden="1"/>
    </xf>
    <xf numFmtId="0" fontId="16" fillId="0" borderId="9" xfId="0" applyFont="1" applyBorder="1" applyProtection="1">
      <protection hidden="1"/>
    </xf>
    <xf numFmtId="0" fontId="16" fillId="0" borderId="10" xfId="0" applyFont="1" applyBorder="1" applyAlignment="1" applyProtection="1">
      <alignment horizontal="center"/>
      <protection hidden="1"/>
    </xf>
    <xf numFmtId="164" fontId="16" fillId="0" borderId="0" xfId="0" applyNumberFormat="1" applyFont="1" applyProtection="1">
      <protection hidden="1"/>
    </xf>
    <xf numFmtId="164" fontId="16" fillId="0" borderId="5" xfId="0" applyNumberFormat="1" applyFont="1" applyBorder="1" applyAlignment="1" applyProtection="1">
      <alignment horizontal="center"/>
      <protection hidden="1"/>
    </xf>
    <xf numFmtId="0" fontId="16" fillId="0" borderId="3" xfId="0" applyFont="1" applyBorder="1" applyAlignment="1" applyProtection="1">
      <alignment horizontal="right" vertical="center" wrapText="1"/>
      <protection hidden="1"/>
    </xf>
    <xf numFmtId="164" fontId="96" fillId="0" borderId="0" xfId="0" applyNumberFormat="1" applyFont="1" applyAlignment="1" applyProtection="1">
      <alignment horizontal="center" vertical="center" wrapText="1"/>
      <protection hidden="1"/>
    </xf>
    <xf numFmtId="168" fontId="11" fillId="0" borderId="3" xfId="0" applyNumberFormat="1" applyFont="1" applyBorder="1" applyAlignment="1" applyProtection="1">
      <alignment horizontal="center" vertical="center"/>
      <protection hidden="1"/>
    </xf>
    <xf numFmtId="168" fontId="11" fillId="0" borderId="1" xfId="0" applyNumberFormat="1" applyFont="1" applyBorder="1" applyAlignment="1" applyProtection="1">
      <alignment horizontal="center" vertical="center"/>
      <protection hidden="1"/>
    </xf>
    <xf numFmtId="0" fontId="16" fillId="0" borderId="2" xfId="0" applyFont="1" applyBorder="1" applyAlignment="1" applyProtection="1">
      <alignment horizontal="center" vertical="center" wrapText="1"/>
      <protection hidden="1"/>
    </xf>
    <xf numFmtId="164" fontId="27" fillId="0" borderId="5" xfId="0" applyNumberFormat="1" applyFont="1" applyBorder="1" applyAlignment="1" applyProtection="1">
      <alignment horizontal="center"/>
      <protection hidden="1"/>
    </xf>
    <xf numFmtId="164" fontId="16" fillId="0" borderId="10" xfId="0" applyNumberFormat="1" applyFont="1" applyBorder="1" applyAlignment="1" applyProtection="1">
      <alignment horizontal="center"/>
      <protection hidden="1"/>
    </xf>
    <xf numFmtId="164" fontId="97" fillId="0" borderId="0" xfId="0" applyNumberFormat="1" applyFont="1" applyAlignment="1" applyProtection="1">
      <alignment horizontal="center" vertical="center" wrapText="1"/>
      <protection hidden="1"/>
    </xf>
    <xf numFmtId="0" fontId="64" fillId="0" borderId="0" xfId="0" applyFont="1" applyAlignment="1" applyProtection="1">
      <alignment horizontal="left" vertical="center" wrapText="1"/>
      <protection hidden="1"/>
    </xf>
    <xf numFmtId="0" fontId="92" fillId="0" borderId="0" xfId="0" applyFont="1" applyAlignment="1" applyProtection="1">
      <alignment horizontal="left" wrapText="1"/>
      <protection hidden="1"/>
    </xf>
    <xf numFmtId="0" fontId="65" fillId="0" borderId="0" xfId="0" applyFont="1" applyAlignment="1" applyProtection="1">
      <alignment vertical="center"/>
      <protection hidden="1"/>
    </xf>
    <xf numFmtId="49" fontId="52" fillId="0" borderId="5" xfId="0" applyNumberFormat="1" applyFont="1" applyBorder="1" applyAlignment="1" applyProtection="1">
      <alignment horizontal="center" vertical="center"/>
      <protection hidden="1"/>
    </xf>
    <xf numFmtId="170" fontId="51" fillId="0" borderId="5" xfId="6" applyNumberFormat="1" applyFont="1" applyBorder="1" applyAlignment="1" applyProtection="1">
      <alignment horizontal="center" vertical="center" wrapText="1"/>
      <protection hidden="1"/>
    </xf>
    <xf numFmtId="165" fontId="51" fillId="0" borderId="5" xfId="0" applyNumberFormat="1" applyFont="1" applyBorder="1" applyAlignment="1" applyProtection="1">
      <alignment horizontal="center" vertical="center" wrapText="1"/>
      <protection hidden="1"/>
    </xf>
    <xf numFmtId="1" fontId="52" fillId="0" borderId="0" xfId="0" applyNumberFormat="1" applyFont="1" applyAlignment="1" applyProtection="1">
      <alignment vertical="center"/>
      <protection hidden="1"/>
    </xf>
    <xf numFmtId="0" fontId="52" fillId="0" borderId="0" xfId="0" applyFont="1" applyAlignment="1" applyProtection="1">
      <alignment wrapText="1"/>
      <protection hidden="1"/>
    </xf>
    <xf numFmtId="0" fontId="52" fillId="0" borderId="0" xfId="0" applyFont="1" applyProtection="1">
      <protection hidden="1"/>
    </xf>
    <xf numFmtId="164" fontId="52" fillId="0" borderId="0" xfId="0" applyNumberFormat="1" applyFont="1" applyAlignment="1" applyProtection="1">
      <alignment vertical="center"/>
      <protection hidden="1"/>
    </xf>
    <xf numFmtId="49" fontId="52" fillId="0" borderId="0" xfId="0" applyNumberFormat="1" applyFont="1" applyAlignment="1" applyProtection="1">
      <alignment horizontal="center" vertical="center"/>
      <protection hidden="1"/>
    </xf>
    <xf numFmtId="0" fontId="52" fillId="0" borderId="0" xfId="0" applyFont="1" applyAlignment="1" applyProtection="1">
      <alignment horizontal="right" vertical="center" wrapText="1"/>
      <protection hidden="1"/>
    </xf>
    <xf numFmtId="0" fontId="52" fillId="0" borderId="0" xfId="0" applyFont="1" applyAlignment="1" applyProtection="1">
      <alignment horizontal="right" vertical="center"/>
      <protection hidden="1"/>
    </xf>
    <xf numFmtId="1" fontId="51" fillId="0" borderId="0" xfId="0" applyNumberFormat="1" applyFont="1" applyAlignment="1" applyProtection="1">
      <alignment horizontal="center" vertical="center"/>
      <protection hidden="1"/>
    </xf>
    <xf numFmtId="0" fontId="52" fillId="0" borderId="5" xfId="0" applyFont="1" applyBorder="1" applyAlignment="1" applyProtection="1">
      <alignment horizontal="center" wrapText="1"/>
      <protection hidden="1"/>
    </xf>
    <xf numFmtId="0" fontId="51" fillId="0" borderId="0" xfId="0" applyFont="1" applyAlignment="1" applyProtection="1">
      <alignment wrapText="1"/>
      <protection hidden="1"/>
    </xf>
    <xf numFmtId="49" fontId="7" fillId="0" borderId="8" xfId="0" applyNumberFormat="1" applyFont="1" applyBorder="1" applyAlignment="1" applyProtection="1">
      <alignment horizontal="center" vertical="center"/>
      <protection hidden="1"/>
    </xf>
    <xf numFmtId="0" fontId="7" fillId="0" borderId="0" xfId="0" applyFont="1" applyAlignment="1" applyProtection="1">
      <alignment horizontal="left" vertical="center"/>
      <protection hidden="1"/>
    </xf>
    <xf numFmtId="0" fontId="53" fillId="0" borderId="0" xfId="0" applyFont="1" applyProtection="1">
      <protection hidden="1"/>
    </xf>
    <xf numFmtId="0" fontId="7" fillId="0" borderId="0" xfId="0" applyFont="1" applyProtection="1">
      <protection hidden="1"/>
    </xf>
    <xf numFmtId="49" fontId="7" fillId="0" borderId="5" xfId="0" applyNumberFormat="1"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13" fillId="2" borderId="5" xfId="0" applyFont="1" applyFill="1" applyBorder="1" applyAlignment="1" applyProtection="1">
      <alignment horizontal="center" vertical="center" wrapText="1"/>
      <protection hidden="1"/>
    </xf>
    <xf numFmtId="0" fontId="13" fillId="2" borderId="5" xfId="0" applyFont="1" applyFill="1" applyBorder="1" applyAlignment="1" applyProtection="1">
      <alignment horizontal="center" vertical="center"/>
      <protection hidden="1"/>
    </xf>
    <xf numFmtId="0" fontId="58" fillId="2" borderId="5" xfId="0" applyFont="1" applyFill="1" applyBorder="1" applyAlignment="1" applyProtection="1">
      <alignment horizontal="center" vertical="center" wrapText="1"/>
      <protection hidden="1"/>
    </xf>
    <xf numFmtId="0" fontId="58" fillId="2" borderId="13" xfId="0" applyFont="1" applyFill="1" applyBorder="1" applyAlignment="1" applyProtection="1">
      <alignment horizontal="center" vertical="center" wrapText="1"/>
      <protection hidden="1"/>
    </xf>
    <xf numFmtId="0" fontId="33" fillId="2" borderId="5" xfId="0" applyFont="1" applyFill="1" applyBorder="1" applyAlignment="1" applyProtection="1">
      <alignment horizontal="center" vertical="center"/>
      <protection hidden="1"/>
    </xf>
    <xf numFmtId="0" fontId="58" fillId="2" borderId="5" xfId="0" applyFont="1" applyFill="1" applyBorder="1" applyAlignment="1" applyProtection="1">
      <alignment horizontal="center" vertical="center"/>
      <protection hidden="1"/>
    </xf>
    <xf numFmtId="0" fontId="33" fillId="0" borderId="15" xfId="0" applyFont="1" applyBorder="1" applyAlignment="1" applyProtection="1">
      <alignment horizontal="center" vertical="center" wrapText="1"/>
      <protection hidden="1"/>
    </xf>
    <xf numFmtId="0" fontId="14" fillId="0" borderId="13" xfId="0" applyFont="1" applyBorder="1" applyAlignment="1" applyProtection="1">
      <alignment horizontal="left" vertical="top"/>
      <protection hidden="1"/>
    </xf>
    <xf numFmtId="1" fontId="10" fillId="0" borderId="5" xfId="0" applyNumberFormat="1" applyFont="1" applyBorder="1" applyAlignment="1" applyProtection="1">
      <alignment horizontal="center" vertical="center"/>
      <protection hidden="1"/>
    </xf>
    <xf numFmtId="164" fontId="10" fillId="0" borderId="5" xfId="0" applyNumberFormat="1" applyFont="1" applyBorder="1" applyAlignment="1" applyProtection="1">
      <alignment horizontal="center" vertical="center"/>
      <protection hidden="1"/>
    </xf>
    <xf numFmtId="1" fontId="10" fillId="0" borderId="13" xfId="0" applyNumberFormat="1" applyFont="1" applyBorder="1" applyAlignment="1" applyProtection="1">
      <alignment horizontal="center" vertical="center"/>
      <protection hidden="1"/>
    </xf>
    <xf numFmtId="0" fontId="13" fillId="0" borderId="5" xfId="0" applyFont="1" applyBorder="1" applyAlignment="1" applyProtection="1">
      <alignment vertical="center"/>
      <protection hidden="1"/>
    </xf>
    <xf numFmtId="0" fontId="10" fillId="0" borderId="25" xfId="0" applyFont="1" applyBorder="1" applyAlignment="1" applyProtection="1">
      <alignment horizontal="center"/>
      <protection hidden="1"/>
    </xf>
    <xf numFmtId="0" fontId="14" fillId="0" borderId="13" xfId="0" applyFont="1" applyBorder="1" applyAlignment="1" applyProtection="1">
      <alignment horizontal="left" vertical="top" wrapText="1"/>
      <protection hidden="1"/>
    </xf>
    <xf numFmtId="1" fontId="10" fillId="4" borderId="5" xfId="0" applyNumberFormat="1" applyFont="1" applyFill="1" applyBorder="1" applyAlignment="1" applyProtection="1">
      <alignment horizontal="center" vertical="center"/>
      <protection hidden="1"/>
    </xf>
    <xf numFmtId="1" fontId="10" fillId="0" borderId="25" xfId="0" applyNumberFormat="1" applyFont="1" applyBorder="1" applyAlignment="1" applyProtection="1">
      <alignment horizontal="center" vertical="center"/>
      <protection hidden="1"/>
    </xf>
    <xf numFmtId="0" fontId="108" fillId="0" borderId="5" xfId="0" applyFont="1" applyBorder="1" applyAlignment="1" applyProtection="1">
      <alignment vertical="center"/>
      <protection hidden="1"/>
    </xf>
    <xf numFmtId="1" fontId="109" fillId="0" borderId="5" xfId="0" applyNumberFormat="1" applyFont="1" applyBorder="1" applyAlignment="1" applyProtection="1">
      <alignment horizontal="center" vertical="center"/>
      <protection hidden="1"/>
    </xf>
    <xf numFmtId="0" fontId="29" fillId="0" borderId="0" xfId="0" applyFont="1" applyAlignment="1" applyProtection="1">
      <alignment vertical="center"/>
      <protection hidden="1"/>
    </xf>
    <xf numFmtId="0" fontId="14" fillId="0" borderId="0" xfId="0" applyFont="1" applyAlignment="1" applyProtection="1">
      <alignment horizontal="center" vertical="center" wrapText="1"/>
      <protection hidden="1"/>
    </xf>
    <xf numFmtId="1" fontId="16" fillId="0" borderId="0" xfId="0" applyNumberFormat="1" applyFont="1" applyAlignment="1" applyProtection="1">
      <alignment horizontal="center" vertical="center"/>
      <protection hidden="1"/>
    </xf>
    <xf numFmtId="0" fontId="14" fillId="0" borderId="0" xfId="0" applyFont="1" applyAlignment="1" applyProtection="1">
      <alignment vertical="center"/>
      <protection hidden="1"/>
    </xf>
    <xf numFmtId="0" fontId="29" fillId="0" borderId="6" xfId="0" applyFont="1" applyBorder="1" applyAlignment="1" applyProtection="1">
      <alignment horizontal="right" vertical="center"/>
      <protection hidden="1"/>
    </xf>
    <xf numFmtId="1" fontId="15" fillId="0" borderId="5" xfId="0" applyNumberFormat="1" applyFont="1" applyBorder="1" applyAlignment="1" applyProtection="1">
      <alignment horizontal="center"/>
      <protection hidden="1"/>
    </xf>
    <xf numFmtId="1" fontId="9" fillId="0" borderId="0" xfId="0" applyNumberFormat="1" applyFont="1" applyProtection="1">
      <protection hidden="1"/>
    </xf>
    <xf numFmtId="0" fontId="9" fillId="0" borderId="0" xfId="0" applyFont="1" applyAlignment="1" applyProtection="1">
      <alignment vertical="top"/>
      <protection hidden="1"/>
    </xf>
    <xf numFmtId="0" fontId="51" fillId="0" borderId="0" xfId="0" applyFont="1" applyProtection="1">
      <protection hidden="1"/>
    </xf>
    <xf numFmtId="0" fontId="92" fillId="0" borderId="0" xfId="0" applyFont="1" applyAlignment="1" applyProtection="1">
      <alignment horizontal="center"/>
      <protection hidden="1"/>
    </xf>
    <xf numFmtId="0" fontId="66" fillId="0" borderId="0" xfId="0" applyFont="1" applyProtection="1">
      <protection hidden="1"/>
    </xf>
    <xf numFmtId="0" fontId="51" fillId="0" borderId="0" xfId="0" applyFont="1" applyAlignment="1" applyProtection="1">
      <alignment horizontal="right"/>
      <protection hidden="1"/>
    </xf>
    <xf numFmtId="0" fontId="81" fillId="0" borderId="0" xfId="0" applyFont="1" applyProtection="1">
      <protection hidden="1"/>
    </xf>
    <xf numFmtId="0" fontId="90" fillId="0" borderId="0" xfId="0" applyFont="1" applyAlignment="1" applyProtection="1">
      <alignment vertical="center"/>
      <protection hidden="1"/>
    </xf>
    <xf numFmtId="0" fontId="90" fillId="2" borderId="5" xfId="0" applyFont="1" applyFill="1" applyBorder="1" applyAlignment="1" applyProtection="1">
      <alignment horizontal="center" vertical="center" wrapText="1"/>
      <protection hidden="1"/>
    </xf>
    <xf numFmtId="0" fontId="51" fillId="2" borderId="5" xfId="0" applyFont="1" applyFill="1" applyBorder="1" applyAlignment="1" applyProtection="1">
      <alignment horizontal="center" vertical="center" wrapText="1"/>
      <protection hidden="1"/>
    </xf>
    <xf numFmtId="0" fontId="51" fillId="2" borderId="5" xfId="0" applyFont="1" applyFill="1" applyBorder="1" applyAlignment="1" applyProtection="1">
      <alignment horizontal="left" vertical="center" wrapText="1"/>
      <protection hidden="1"/>
    </xf>
    <xf numFmtId="0" fontId="81" fillId="0" borderId="5" xfId="0" applyFont="1" applyBorder="1" applyAlignment="1" applyProtection="1">
      <alignment horizontal="center" vertical="center" wrapText="1"/>
      <protection hidden="1"/>
    </xf>
    <xf numFmtId="166" fontId="51" fillId="0" borderId="5" xfId="0" applyNumberFormat="1" applyFont="1" applyBorder="1" applyAlignment="1" applyProtection="1">
      <alignment horizontal="center" vertical="center" wrapText="1"/>
      <protection hidden="1"/>
    </xf>
    <xf numFmtId="0" fontId="94" fillId="0" borderId="0" xfId="0" applyFont="1" applyAlignment="1" applyProtection="1">
      <alignment horizontal="center" vertical="center"/>
      <protection hidden="1"/>
    </xf>
    <xf numFmtId="4" fontId="51" fillId="0" borderId="5" xfId="0" applyNumberFormat="1" applyFont="1" applyBorder="1" applyAlignment="1" applyProtection="1">
      <alignment horizontal="center" vertical="center" wrapText="1"/>
      <protection hidden="1"/>
    </xf>
    <xf numFmtId="0" fontId="86" fillId="7" borderId="0" xfId="0" applyFont="1" applyFill="1" applyAlignment="1" applyProtection="1">
      <alignment horizontal="center" vertical="center"/>
      <protection hidden="1"/>
    </xf>
    <xf numFmtId="0" fontId="78" fillId="0" borderId="8" xfId="0" applyFont="1" applyBorder="1" applyAlignment="1" applyProtection="1">
      <alignment horizontal="center" vertical="center"/>
      <protection hidden="1"/>
    </xf>
    <xf numFmtId="0" fontId="78" fillId="0" borderId="9" xfId="0" applyFont="1" applyBorder="1" applyAlignment="1" applyProtection="1">
      <alignment horizontal="center" vertical="center"/>
      <protection hidden="1"/>
    </xf>
    <xf numFmtId="0" fontId="78" fillId="0" borderId="10" xfId="0" applyFont="1" applyBorder="1" applyAlignment="1" applyProtection="1">
      <alignment horizontal="center" vertical="center"/>
      <protection hidden="1"/>
    </xf>
    <xf numFmtId="0" fontId="56" fillId="0" borderId="3" xfId="0" applyFont="1" applyBorder="1" applyAlignment="1" applyProtection="1">
      <alignment horizontal="right" wrapText="1"/>
      <protection hidden="1"/>
    </xf>
    <xf numFmtId="0" fontId="56" fillId="0" borderId="4" xfId="0" applyFont="1" applyBorder="1" applyAlignment="1" applyProtection="1">
      <alignment horizontal="right" wrapText="1"/>
      <protection hidden="1"/>
    </xf>
    <xf numFmtId="0" fontId="66" fillId="0" borderId="3" xfId="0" applyFont="1" applyBorder="1" applyAlignment="1" applyProtection="1">
      <alignment horizontal="right" wrapText="1"/>
      <protection hidden="1"/>
    </xf>
    <xf numFmtId="0" fontId="66" fillId="0" borderId="4" xfId="0" applyFont="1" applyBorder="1" applyAlignment="1" applyProtection="1">
      <alignment horizontal="right" wrapText="1"/>
      <protection hidden="1"/>
    </xf>
    <xf numFmtId="0" fontId="26" fillId="4" borderId="2" xfId="0" applyFont="1" applyFill="1" applyBorder="1" applyAlignment="1" applyProtection="1">
      <alignment horizontal="left" wrapText="1"/>
      <protection hidden="1"/>
    </xf>
    <xf numFmtId="0" fontId="26" fillId="4" borderId="3" xfId="0" applyFont="1" applyFill="1" applyBorder="1" applyAlignment="1" applyProtection="1">
      <alignment horizontal="left" wrapText="1"/>
      <protection hidden="1"/>
    </xf>
    <xf numFmtId="49" fontId="87" fillId="4" borderId="5" xfId="0" applyNumberFormat="1" applyFont="1" applyFill="1" applyBorder="1" applyAlignment="1" applyProtection="1">
      <alignment horizontal="center" vertical="center"/>
      <protection locked="0"/>
    </xf>
    <xf numFmtId="0" fontId="25" fillId="4" borderId="3" xfId="0" applyFont="1" applyFill="1" applyBorder="1" applyAlignment="1" applyProtection="1">
      <alignment horizontal="left" wrapText="1"/>
      <protection hidden="1"/>
    </xf>
    <xf numFmtId="166" fontId="50" fillId="0" borderId="0" xfId="0" applyNumberFormat="1" applyFont="1" applyAlignment="1" applyProtection="1">
      <alignment horizontal="right" wrapText="1"/>
      <protection hidden="1"/>
    </xf>
    <xf numFmtId="166" fontId="14" fillId="0" borderId="0" xfId="0" applyNumberFormat="1" applyFont="1" applyAlignment="1" applyProtection="1">
      <alignment horizontal="right" wrapText="1"/>
      <protection hidden="1"/>
    </xf>
    <xf numFmtId="0" fontId="47" fillId="4" borderId="2" xfId="0" applyFont="1" applyFill="1" applyBorder="1" applyAlignment="1" applyProtection="1">
      <alignment horizontal="left" wrapText="1"/>
      <protection hidden="1"/>
    </xf>
    <xf numFmtId="0" fontId="47" fillId="4" borderId="3" xfId="0" applyFont="1" applyFill="1" applyBorder="1" applyAlignment="1" applyProtection="1">
      <alignment horizontal="left" wrapText="1"/>
      <protection hidden="1"/>
    </xf>
    <xf numFmtId="0" fontId="66" fillId="0" borderId="3" xfId="0" applyFont="1" applyBorder="1" applyAlignment="1" applyProtection="1">
      <alignment horizontal="right" vertical="center" wrapText="1"/>
      <protection hidden="1"/>
    </xf>
    <xf numFmtId="0" fontId="66" fillId="0" borderId="4" xfId="0" applyFont="1" applyBorder="1" applyAlignment="1" applyProtection="1">
      <alignment horizontal="right" vertical="center" wrapText="1"/>
      <protection hidden="1"/>
    </xf>
    <xf numFmtId="0" fontId="56" fillId="0" borderId="2" xfId="0" applyFont="1" applyBorder="1" applyAlignment="1" applyProtection="1">
      <alignment horizontal="right" wrapText="1"/>
      <protection hidden="1"/>
    </xf>
    <xf numFmtId="166" fontId="10" fillId="0" borderId="7" xfId="0" applyNumberFormat="1" applyFont="1" applyBorder="1" applyAlignment="1" applyProtection="1">
      <alignment horizontal="right" vertical="center"/>
      <protection hidden="1"/>
    </xf>
    <xf numFmtId="166" fontId="10" fillId="0" borderId="6" xfId="0" applyNumberFormat="1" applyFont="1" applyBorder="1" applyAlignment="1" applyProtection="1">
      <alignment horizontal="right" vertical="center"/>
      <protection hidden="1"/>
    </xf>
    <xf numFmtId="0" fontId="9" fillId="0" borderId="0" xfId="0" applyFont="1" applyAlignment="1" applyProtection="1">
      <alignment horizontal="left" wrapText="1"/>
      <protection hidden="1"/>
    </xf>
    <xf numFmtId="0" fontId="10" fillId="0" borderId="0" xfId="0" applyFont="1" applyAlignment="1" applyProtection="1">
      <alignment horizontal="right" wrapText="1"/>
      <protection hidden="1"/>
    </xf>
    <xf numFmtId="0" fontId="25" fillId="4" borderId="1" xfId="0" applyFont="1" applyFill="1" applyBorder="1" applyAlignment="1" applyProtection="1">
      <alignment horizontal="left" wrapText="1"/>
      <protection hidden="1"/>
    </xf>
    <xf numFmtId="0" fontId="7" fillId="4" borderId="0" xfId="0" applyFont="1" applyFill="1" applyAlignment="1" applyProtection="1">
      <alignment horizontal="right" wrapText="1"/>
      <protection hidden="1"/>
    </xf>
    <xf numFmtId="0" fontId="25" fillId="4" borderId="0" xfId="0" applyFont="1" applyFill="1" applyAlignment="1" applyProtection="1">
      <alignment horizontal="left" wrapText="1"/>
      <protection hidden="1"/>
    </xf>
    <xf numFmtId="0" fontId="88" fillId="4" borderId="1" xfId="0" applyFont="1" applyFill="1" applyBorder="1" applyAlignment="1" applyProtection="1">
      <alignment horizontal="center"/>
      <protection locked="0"/>
    </xf>
    <xf numFmtId="0" fontId="66" fillId="0" borderId="2" xfId="0" applyFont="1" applyBorder="1" applyAlignment="1" applyProtection="1">
      <alignment horizontal="right" wrapText="1"/>
      <protection hidden="1"/>
    </xf>
    <xf numFmtId="0" fontId="33" fillId="4" borderId="7" xfId="0" applyFont="1" applyFill="1" applyBorder="1" applyAlignment="1" applyProtection="1">
      <alignment horizontal="left" wrapText="1"/>
      <protection hidden="1"/>
    </xf>
    <xf numFmtId="0" fontId="33" fillId="4" borderId="0" xfId="0" applyFont="1" applyFill="1" applyAlignment="1" applyProtection="1">
      <alignment horizontal="left" wrapText="1"/>
      <protection hidden="1"/>
    </xf>
    <xf numFmtId="166" fontId="47" fillId="0" borderId="0" xfId="0" applyNumberFormat="1" applyFont="1" applyAlignment="1" applyProtection="1">
      <alignment horizontal="left" vertical="top" wrapText="1"/>
      <protection hidden="1"/>
    </xf>
    <xf numFmtId="0" fontId="62" fillId="0" borderId="5" xfId="0" applyFont="1" applyBorder="1" applyAlignment="1" applyProtection="1">
      <alignment horizontal="center" vertical="center"/>
      <protection hidden="1"/>
    </xf>
    <xf numFmtId="0" fontId="86" fillId="5" borderId="0" xfId="0" applyFont="1" applyFill="1" applyAlignment="1" applyProtection="1">
      <alignment horizontal="center" vertical="center"/>
      <protection hidden="1"/>
    </xf>
    <xf numFmtId="0" fontId="87" fillId="4" borderId="5" xfId="0" applyFont="1" applyFill="1" applyBorder="1" applyAlignment="1" applyProtection="1">
      <alignment horizontal="left" vertical="center"/>
      <protection locked="0"/>
    </xf>
    <xf numFmtId="0" fontId="8" fillId="0" borderId="0" xfId="0" applyFont="1" applyAlignment="1" applyProtection="1">
      <alignment horizontal="right" vertical="center"/>
      <protection hidden="1"/>
    </xf>
    <xf numFmtId="49" fontId="87" fillId="4" borderId="5" xfId="0" applyNumberFormat="1" applyFont="1" applyFill="1" applyBorder="1" applyAlignment="1" applyProtection="1">
      <alignment horizontal="left" vertical="center"/>
      <protection locked="0"/>
    </xf>
    <xf numFmtId="166" fontId="25" fillId="4" borderId="0" xfId="0" applyNumberFormat="1" applyFont="1" applyFill="1" applyAlignment="1" applyProtection="1">
      <alignment horizontal="left" wrapText="1"/>
      <protection hidden="1"/>
    </xf>
    <xf numFmtId="166" fontId="88" fillId="4" borderId="5" xfId="0" applyNumberFormat="1" applyFont="1" applyFill="1" applyBorder="1" applyAlignment="1" applyProtection="1">
      <alignment horizontal="center" vertical="center" wrapText="1"/>
      <protection locked="0"/>
    </xf>
    <xf numFmtId="166" fontId="10" fillId="0" borderId="0" xfId="0" applyNumberFormat="1" applyFont="1" applyAlignment="1" applyProtection="1">
      <alignment horizontal="left" vertical="center" wrapText="1"/>
      <protection hidden="1"/>
    </xf>
    <xf numFmtId="166" fontId="83" fillId="0" borderId="0" xfId="0" applyNumberFormat="1" applyFont="1" applyAlignment="1" applyProtection="1">
      <alignment horizontal="left" vertical="center" wrapText="1"/>
      <protection hidden="1"/>
    </xf>
    <xf numFmtId="166" fontId="10" fillId="0" borderId="7" xfId="0" applyNumberFormat="1" applyFont="1" applyBorder="1" applyAlignment="1" applyProtection="1">
      <alignment horizontal="left"/>
      <protection hidden="1"/>
    </xf>
    <xf numFmtId="166" fontId="10" fillId="0" borderId="0" xfId="0" applyNumberFormat="1" applyFont="1" applyAlignment="1" applyProtection="1">
      <alignment horizontal="left"/>
      <protection hidden="1"/>
    </xf>
    <xf numFmtId="0" fontId="88" fillId="5" borderId="2" xfId="0" applyFont="1" applyFill="1" applyBorder="1" applyAlignment="1" applyProtection="1">
      <alignment horizontal="center" vertical="center" wrapText="1"/>
      <protection locked="0"/>
    </xf>
    <xf numFmtId="0" fontId="88" fillId="5" borderId="3" xfId="0" applyFont="1" applyFill="1" applyBorder="1" applyAlignment="1" applyProtection="1">
      <alignment horizontal="center" vertical="center" wrapText="1"/>
      <protection locked="0"/>
    </xf>
    <xf numFmtId="0" fontId="88" fillId="5" borderId="4" xfId="0" applyFont="1" applyFill="1" applyBorder="1" applyAlignment="1" applyProtection="1">
      <alignment horizontal="center" vertical="center" wrapText="1"/>
      <protection locked="0"/>
    </xf>
    <xf numFmtId="0" fontId="9" fillId="0" borderId="0" xfId="0" applyFont="1" applyAlignment="1" applyProtection="1">
      <alignment horizontal="center"/>
      <protection hidden="1"/>
    </xf>
    <xf numFmtId="0" fontId="110" fillId="0" borderId="3" xfId="0" applyFont="1" applyBorder="1" applyAlignment="1" applyProtection="1">
      <alignment horizontal="left" vertical="center" wrapText="1"/>
      <protection hidden="1"/>
    </xf>
    <xf numFmtId="0" fontId="110" fillId="0" borderId="4" xfId="0" applyFont="1" applyBorder="1" applyAlignment="1" applyProtection="1">
      <alignment horizontal="left" vertical="center" wrapText="1"/>
      <protection hidden="1"/>
    </xf>
    <xf numFmtId="0" fontId="66" fillId="2" borderId="5" xfId="0" applyFont="1" applyFill="1" applyBorder="1" applyAlignment="1" applyProtection="1">
      <alignment horizontal="center" vertical="center" wrapText="1"/>
      <protection hidden="1"/>
    </xf>
    <xf numFmtId="0" fontId="47" fillId="2" borderId="5" xfId="0" applyFont="1" applyFill="1" applyBorder="1" applyAlignment="1" applyProtection="1">
      <alignment horizontal="center" wrapText="1"/>
      <protection hidden="1"/>
    </xf>
    <xf numFmtId="0" fontId="46" fillId="0" borderId="2" xfId="0" applyFont="1" applyBorder="1" applyAlignment="1" applyProtection="1">
      <alignment horizontal="center" vertical="center"/>
      <protection hidden="1"/>
    </xf>
    <xf numFmtId="0" fontId="46" fillId="0" borderId="3" xfId="0" applyFont="1" applyBorder="1" applyAlignment="1" applyProtection="1">
      <alignment horizontal="center" vertical="center"/>
      <protection hidden="1"/>
    </xf>
    <xf numFmtId="0" fontId="46" fillId="0" borderId="4" xfId="0" applyFont="1" applyBorder="1" applyAlignment="1" applyProtection="1">
      <alignment horizontal="center" vertical="center"/>
      <protection hidden="1"/>
    </xf>
    <xf numFmtId="0" fontId="22" fillId="4" borderId="5" xfId="0" applyFont="1" applyFill="1" applyBorder="1" applyAlignment="1" applyProtection="1">
      <alignment horizontal="center" vertical="center"/>
      <protection hidden="1"/>
    </xf>
    <xf numFmtId="0" fontId="90" fillId="4" borderId="5" xfId="0" applyFont="1" applyFill="1" applyBorder="1" applyAlignment="1" applyProtection="1">
      <alignment horizontal="center" vertical="center"/>
      <protection locked="0"/>
    </xf>
    <xf numFmtId="0" fontId="86" fillId="4" borderId="2" xfId="0" applyFont="1" applyFill="1" applyBorder="1" applyAlignment="1" applyProtection="1">
      <alignment horizontal="left" vertical="center" wrapText="1"/>
      <protection locked="0"/>
    </xf>
    <xf numFmtId="0" fontId="86" fillId="4" borderId="4"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center" vertical="center" wrapText="1"/>
      <protection hidden="1"/>
    </xf>
    <xf numFmtId="0" fontId="9" fillId="2" borderId="9"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0" fontId="86" fillId="4" borderId="2" xfId="0" applyFont="1" applyFill="1" applyBorder="1" applyAlignment="1" applyProtection="1">
      <alignment horizontal="left" vertical="top" wrapText="1"/>
      <protection locked="0"/>
    </xf>
    <xf numFmtId="0" fontId="86" fillId="4" borderId="3" xfId="0" applyFont="1" applyFill="1" applyBorder="1" applyAlignment="1" applyProtection="1">
      <alignment horizontal="left" vertical="top" wrapText="1"/>
      <protection locked="0"/>
    </xf>
    <xf numFmtId="0" fontId="86" fillId="4" borderId="4" xfId="0" applyFont="1" applyFill="1" applyBorder="1" applyAlignment="1" applyProtection="1">
      <alignment horizontal="left" vertical="top" wrapText="1"/>
      <protection locked="0"/>
    </xf>
    <xf numFmtId="0" fontId="79" fillId="4" borderId="2" xfId="0" applyFont="1" applyFill="1" applyBorder="1" applyAlignment="1" applyProtection="1">
      <alignment horizontal="right" vertical="center"/>
      <protection hidden="1"/>
    </xf>
    <xf numFmtId="0" fontId="79" fillId="4" borderId="3" xfId="0" applyFont="1" applyFill="1" applyBorder="1" applyAlignment="1" applyProtection="1">
      <alignment horizontal="right" vertical="center"/>
      <protection hidden="1"/>
    </xf>
    <xf numFmtId="0" fontId="79" fillId="4" borderId="4" xfId="0" applyFont="1" applyFill="1" applyBorder="1" applyAlignment="1" applyProtection="1">
      <alignment horizontal="right" vertical="center"/>
      <protection hidden="1"/>
    </xf>
    <xf numFmtId="0" fontId="110" fillId="0" borderId="2" xfId="0" applyFont="1" applyBorder="1" applyAlignment="1" applyProtection="1">
      <alignment horizontal="left" vertical="center" wrapText="1"/>
      <protection hidden="1"/>
    </xf>
    <xf numFmtId="0" fontId="11" fillId="0" borderId="5" xfId="0" applyFont="1" applyBorder="1" applyAlignment="1" applyProtection="1">
      <alignment horizontal="center" vertical="center" wrapText="1"/>
      <protection hidden="1"/>
    </xf>
    <xf numFmtId="0" fontId="79" fillId="4" borderId="0" xfId="0" applyFont="1" applyFill="1" applyAlignment="1" applyProtection="1">
      <alignment horizontal="left"/>
      <protection hidden="1"/>
    </xf>
    <xf numFmtId="0" fontId="9" fillId="2" borderId="13" xfId="0" applyFont="1" applyFill="1" applyBorder="1" applyAlignment="1" applyProtection="1">
      <alignment horizontal="center" vertical="center" wrapText="1"/>
      <protection hidden="1"/>
    </xf>
    <xf numFmtId="0" fontId="9" fillId="2" borderId="15" xfId="0" applyFont="1" applyFill="1" applyBorder="1" applyAlignment="1" applyProtection="1">
      <alignment horizontal="center" vertical="center" wrapText="1"/>
      <protection hidden="1"/>
    </xf>
    <xf numFmtId="1" fontId="22" fillId="4" borderId="2" xfId="0" applyNumberFormat="1" applyFont="1" applyFill="1" applyBorder="1" applyAlignment="1" applyProtection="1">
      <alignment horizontal="center" vertical="center"/>
      <protection hidden="1"/>
    </xf>
    <xf numFmtId="1" fontId="22" fillId="4" borderId="4" xfId="0" applyNumberFormat="1" applyFont="1" applyFill="1" applyBorder="1" applyAlignment="1" applyProtection="1">
      <alignment horizontal="center" vertical="center"/>
      <protection hidden="1"/>
    </xf>
    <xf numFmtId="1" fontId="63" fillId="4" borderId="2" xfId="0" applyNumberFormat="1" applyFont="1" applyFill="1" applyBorder="1" applyAlignment="1" applyProtection="1">
      <alignment horizontal="center" vertical="center"/>
      <protection locked="0"/>
    </xf>
    <xf numFmtId="1" fontId="63" fillId="4" borderId="4" xfId="0" applyNumberFormat="1" applyFont="1" applyFill="1" applyBorder="1" applyAlignment="1" applyProtection="1">
      <alignment horizontal="center" vertical="center"/>
      <protection locked="0"/>
    </xf>
    <xf numFmtId="0" fontId="47" fillId="2" borderId="11" xfId="0" applyFont="1" applyFill="1" applyBorder="1" applyAlignment="1" applyProtection="1">
      <alignment horizontal="center" wrapText="1"/>
      <protection hidden="1"/>
    </xf>
    <xf numFmtId="0" fontId="47" fillId="2" borderId="12" xfId="0" applyFont="1" applyFill="1" applyBorder="1" applyAlignment="1" applyProtection="1">
      <alignment horizontal="center" wrapText="1"/>
      <protection hidden="1"/>
    </xf>
    <xf numFmtId="0" fontId="56" fillId="5" borderId="2" xfId="0" applyFont="1" applyFill="1" applyBorder="1" applyAlignment="1" applyProtection="1">
      <alignment horizontal="left" vertical="center"/>
      <protection locked="0"/>
    </xf>
    <xf numFmtId="0" fontId="56" fillId="5" borderId="4" xfId="0" applyFont="1" applyFill="1" applyBorder="1" applyAlignment="1" applyProtection="1">
      <alignment horizontal="left" vertical="center"/>
      <protection locked="0"/>
    </xf>
    <xf numFmtId="1" fontId="75" fillId="4" borderId="2" xfId="0" applyNumberFormat="1" applyFont="1" applyFill="1" applyBorder="1" applyAlignment="1" applyProtection="1">
      <alignment horizontal="center" vertical="center"/>
      <protection hidden="1"/>
    </xf>
    <xf numFmtId="1" fontId="75" fillId="4" borderId="4" xfId="0" applyNumberFormat="1" applyFont="1" applyFill="1" applyBorder="1" applyAlignment="1" applyProtection="1">
      <alignment horizontal="center" vertical="center"/>
      <protection hidden="1"/>
    </xf>
    <xf numFmtId="1" fontId="90" fillId="0" borderId="2" xfId="0" applyNumberFormat="1" applyFont="1" applyBorder="1" applyAlignment="1" applyProtection="1">
      <alignment horizontal="center" vertical="center" wrapText="1"/>
      <protection locked="0"/>
    </xf>
    <xf numFmtId="0" fontId="90" fillId="0" borderId="4" xfId="0" applyFont="1" applyBorder="1" applyAlignment="1" applyProtection="1">
      <alignment horizontal="center" vertical="center" wrapText="1"/>
      <protection locked="0"/>
    </xf>
    <xf numFmtId="0" fontId="56" fillId="4" borderId="2" xfId="0" applyFont="1" applyFill="1" applyBorder="1" applyAlignment="1" applyProtection="1">
      <alignment horizontal="right" vertical="center"/>
      <protection hidden="1"/>
    </xf>
    <xf numFmtId="0" fontId="56" fillId="4" borderId="3" xfId="0" applyFont="1" applyFill="1" applyBorder="1" applyAlignment="1" applyProtection="1">
      <alignment horizontal="right" vertical="center"/>
      <protection hidden="1"/>
    </xf>
    <xf numFmtId="0" fontId="56" fillId="4" borderId="4" xfId="0" applyFont="1" applyFill="1" applyBorder="1" applyAlignment="1" applyProtection="1">
      <alignment horizontal="right" vertical="center"/>
      <protection hidden="1"/>
    </xf>
    <xf numFmtId="0" fontId="79" fillId="4" borderId="1" xfId="0" applyFont="1" applyFill="1" applyBorder="1" applyAlignment="1" applyProtection="1">
      <alignment horizontal="left"/>
      <protection hidden="1"/>
    </xf>
    <xf numFmtId="0" fontId="9" fillId="2" borderId="2"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66" fillId="2" borderId="3" xfId="0" applyFont="1" applyFill="1" applyBorder="1" applyAlignment="1" applyProtection="1">
      <alignment horizontal="center" vertical="center" wrapText="1"/>
      <protection hidden="1"/>
    </xf>
    <xf numFmtId="0" fontId="66" fillId="2" borderId="4" xfId="0" applyFont="1" applyFill="1" applyBorder="1" applyAlignment="1" applyProtection="1">
      <alignment horizontal="center" vertical="center" wrapText="1"/>
      <protection hidden="1"/>
    </xf>
    <xf numFmtId="0" fontId="99" fillId="2" borderId="3" xfId="0" applyFont="1" applyFill="1" applyBorder="1" applyAlignment="1" applyProtection="1">
      <alignment horizontal="center" vertical="center" wrapText="1"/>
      <protection hidden="1"/>
    </xf>
    <xf numFmtId="0" fontId="99" fillId="2" borderId="4" xfId="0" applyFont="1" applyFill="1" applyBorder="1" applyAlignment="1" applyProtection="1">
      <alignment horizontal="center" vertical="center" wrapText="1"/>
      <protection hidden="1"/>
    </xf>
    <xf numFmtId="0" fontId="84" fillId="0" borderId="5" xfId="0" applyFont="1" applyBorder="1" applyAlignment="1" applyProtection="1">
      <alignment horizontal="left" vertical="top" wrapText="1"/>
      <protection locked="0"/>
    </xf>
    <xf numFmtId="0" fontId="56" fillId="0" borderId="2" xfId="0" applyFont="1" applyBorder="1" applyAlignment="1" applyProtection="1">
      <alignment horizontal="center" vertical="top" wrapText="1"/>
      <protection hidden="1"/>
    </xf>
    <xf numFmtId="0" fontId="56" fillId="0" borderId="4" xfId="0" applyFont="1" applyBorder="1" applyAlignment="1" applyProtection="1">
      <alignment horizontal="center" vertical="top" wrapText="1"/>
      <protection hidden="1"/>
    </xf>
    <xf numFmtId="0" fontId="66" fillId="2" borderId="11" xfId="0" applyFont="1" applyFill="1" applyBorder="1" applyAlignment="1" applyProtection="1">
      <alignment horizontal="center" vertical="center" wrapText="1"/>
      <protection hidden="1"/>
    </xf>
    <xf numFmtId="0" fontId="66" fillId="2" borderId="12" xfId="0" applyFont="1" applyFill="1" applyBorder="1" applyAlignment="1" applyProtection="1">
      <alignment horizontal="center" vertical="center" wrapText="1"/>
      <protection hidden="1"/>
    </xf>
    <xf numFmtId="0" fontId="86" fillId="4" borderId="2" xfId="0" applyFont="1" applyFill="1" applyBorder="1" applyAlignment="1" applyProtection="1">
      <alignment horizontal="center" vertical="top" wrapText="1"/>
      <protection locked="0"/>
    </xf>
    <xf numFmtId="0" fontId="86" fillId="4" borderId="4" xfId="0" applyFont="1" applyFill="1" applyBorder="1" applyAlignment="1" applyProtection="1">
      <alignment horizontal="center" vertical="top" wrapText="1"/>
      <protection locked="0"/>
    </xf>
    <xf numFmtId="0" fontId="9" fillId="4" borderId="0" xfId="0" applyFont="1" applyFill="1" applyAlignment="1" applyProtection="1">
      <alignment horizontal="left"/>
      <protection hidden="1"/>
    </xf>
    <xf numFmtId="0" fontId="46" fillId="0" borderId="5" xfId="0" applyFont="1" applyBorder="1" applyAlignment="1" applyProtection="1">
      <alignment horizontal="center" vertical="center"/>
      <protection hidden="1"/>
    </xf>
    <xf numFmtId="0" fontId="9" fillId="2" borderId="5" xfId="0" applyFont="1" applyFill="1" applyBorder="1" applyAlignment="1" applyProtection="1">
      <alignment horizontal="center" vertical="center" wrapText="1"/>
      <protection hidden="1"/>
    </xf>
    <xf numFmtId="0" fontId="26" fillId="2" borderId="2" xfId="0" applyFont="1" applyFill="1" applyBorder="1" applyAlignment="1" applyProtection="1">
      <alignment horizontal="center" wrapText="1"/>
      <protection hidden="1"/>
    </xf>
    <xf numFmtId="0" fontId="26" fillId="2" borderId="4" xfId="0" applyFont="1" applyFill="1" applyBorder="1" applyAlignment="1" applyProtection="1">
      <alignment horizontal="center" wrapText="1"/>
      <protection hidden="1"/>
    </xf>
    <xf numFmtId="0" fontId="9" fillId="2" borderId="4" xfId="0" applyFont="1" applyFill="1" applyBorder="1" applyAlignment="1" applyProtection="1">
      <alignment horizontal="center" vertical="center" wrapText="1"/>
      <protection hidden="1"/>
    </xf>
    <xf numFmtId="0" fontId="66" fillId="2" borderId="8" xfId="0" applyFont="1" applyFill="1" applyBorder="1" applyAlignment="1" applyProtection="1">
      <alignment horizontal="center" vertical="center" wrapText="1"/>
      <protection hidden="1"/>
    </xf>
    <xf numFmtId="0" fontId="66" fillId="2" borderId="10" xfId="0" applyFont="1" applyFill="1" applyBorder="1" applyAlignment="1" applyProtection="1">
      <alignment horizontal="center" vertical="center" wrapText="1"/>
      <protection hidden="1"/>
    </xf>
    <xf numFmtId="0" fontId="26" fillId="2" borderId="5" xfId="0" applyFont="1" applyFill="1" applyBorder="1" applyAlignment="1" applyProtection="1">
      <alignment horizontal="center" wrapText="1"/>
      <protection hidden="1"/>
    </xf>
    <xf numFmtId="0" fontId="18" fillId="0" borderId="2" xfId="2" applyFont="1" applyBorder="1" applyAlignment="1" applyProtection="1">
      <alignment horizontal="right" vertical="center"/>
      <protection hidden="1"/>
    </xf>
    <xf numFmtId="0" fontId="18" fillId="0" borderId="3" xfId="2" applyFont="1" applyBorder="1" applyAlignment="1" applyProtection="1">
      <alignment horizontal="right" vertical="center"/>
      <protection hidden="1"/>
    </xf>
    <xf numFmtId="0" fontId="18" fillId="0" borderId="4" xfId="2" applyFont="1" applyBorder="1" applyAlignment="1" applyProtection="1">
      <alignment horizontal="right" vertical="center"/>
      <protection hidden="1"/>
    </xf>
    <xf numFmtId="165" fontId="18" fillId="0" borderId="5" xfId="2" applyNumberFormat="1" applyFont="1" applyBorder="1" applyAlignment="1" applyProtection="1">
      <alignment horizontal="center" vertical="center"/>
      <protection hidden="1"/>
    </xf>
    <xf numFmtId="1" fontId="18" fillId="0" borderId="5" xfId="2" applyNumberFormat="1" applyFont="1" applyBorder="1" applyAlignment="1" applyProtection="1">
      <alignment horizontal="center" vertical="center"/>
      <protection hidden="1"/>
    </xf>
    <xf numFmtId="0" fontId="15" fillId="0" borderId="2" xfId="1" applyFont="1" applyBorder="1" applyAlignment="1" applyProtection="1">
      <alignment horizontal="left"/>
      <protection hidden="1"/>
    </xf>
    <xf numFmtId="0" fontId="15" fillId="0" borderId="3" xfId="1" applyFont="1" applyBorder="1" applyAlignment="1" applyProtection="1">
      <alignment horizontal="left"/>
      <protection hidden="1"/>
    </xf>
    <xf numFmtId="0" fontId="15" fillId="0" borderId="4" xfId="1" applyFont="1" applyBorder="1" applyAlignment="1" applyProtection="1">
      <alignment horizontal="left"/>
      <protection hidden="1"/>
    </xf>
    <xf numFmtId="0" fontId="86" fillId="4" borderId="2" xfId="0" applyFont="1" applyFill="1" applyBorder="1" applyAlignment="1" applyProtection="1">
      <alignment horizontal="center" vertical="center"/>
      <protection locked="0"/>
    </xf>
    <xf numFmtId="0" fontId="86" fillId="4" borderId="4" xfId="0" applyFont="1" applyFill="1" applyBorder="1" applyAlignment="1" applyProtection="1">
      <alignment horizontal="center" vertical="center"/>
      <protection locked="0"/>
    </xf>
    <xf numFmtId="1" fontId="22" fillId="4" borderId="5" xfId="0" applyNumberFormat="1" applyFont="1" applyFill="1" applyBorder="1" applyAlignment="1" applyProtection="1">
      <alignment horizontal="center" vertical="center"/>
      <protection hidden="1"/>
    </xf>
    <xf numFmtId="0" fontId="15" fillId="4" borderId="2" xfId="0" applyFont="1" applyFill="1" applyBorder="1" applyAlignment="1" applyProtection="1">
      <alignment horizontal="right" vertical="center"/>
      <protection hidden="1"/>
    </xf>
    <xf numFmtId="0" fontId="15" fillId="4" borderId="3" xfId="0" applyFont="1" applyFill="1" applyBorder="1" applyAlignment="1" applyProtection="1">
      <alignment horizontal="right" vertical="center"/>
      <protection hidden="1"/>
    </xf>
    <xf numFmtId="1" fontId="15" fillId="4" borderId="5" xfId="0" applyNumberFormat="1"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7" fillId="0" borderId="9" xfId="0" applyFont="1" applyBorder="1" applyAlignment="1" applyProtection="1">
      <alignment horizontal="left" vertical="center" wrapText="1"/>
      <protection hidden="1"/>
    </xf>
    <xf numFmtId="0" fontId="20" fillId="2" borderId="13" xfId="2" applyFont="1" applyFill="1" applyBorder="1" applyAlignment="1" applyProtection="1">
      <alignment horizontal="center" vertical="center"/>
      <protection hidden="1"/>
    </xf>
    <xf numFmtId="0" fontId="23" fillId="2" borderId="13" xfId="2" applyFont="1" applyFill="1" applyBorder="1" applyAlignment="1" applyProtection="1">
      <alignment horizontal="center" vertical="center"/>
      <protection hidden="1"/>
    </xf>
    <xf numFmtId="0" fontId="33" fillId="0" borderId="2" xfId="0" applyFont="1" applyBorder="1" applyAlignment="1" applyProtection="1">
      <alignment horizontal="center" vertical="center"/>
      <protection hidden="1"/>
    </xf>
    <xf numFmtId="0" fontId="33" fillId="0" borderId="4" xfId="0" applyFont="1" applyBorder="1" applyAlignment="1" applyProtection="1">
      <alignment horizontal="center" vertical="center"/>
      <protection hidden="1"/>
    </xf>
    <xf numFmtId="0" fontId="33" fillId="0" borderId="3" xfId="0" applyFont="1" applyBorder="1" applyAlignment="1" applyProtection="1">
      <alignment horizontal="center" vertical="center"/>
      <protection hidden="1"/>
    </xf>
    <xf numFmtId="0" fontId="22" fillId="4" borderId="1" xfId="0" applyFont="1" applyFill="1" applyBorder="1" applyAlignment="1" applyProtection="1">
      <alignment horizontal="left"/>
      <protection hidden="1"/>
    </xf>
    <xf numFmtId="0" fontId="16" fillId="2" borderId="5" xfId="0" applyFont="1" applyFill="1" applyBorder="1" applyAlignment="1" applyProtection="1">
      <alignment horizontal="center" vertical="center"/>
      <protection hidden="1"/>
    </xf>
    <xf numFmtId="0" fontId="16" fillId="2" borderId="13" xfId="0" applyFont="1" applyFill="1" applyBorder="1" applyAlignment="1" applyProtection="1">
      <alignment horizontal="center" vertical="center" wrapText="1"/>
      <protection hidden="1"/>
    </xf>
    <xf numFmtId="0" fontId="16" fillId="2" borderId="15" xfId="0" applyFont="1" applyFill="1" applyBorder="1" applyAlignment="1" applyProtection="1">
      <alignment horizontal="center" vertical="center" wrapText="1"/>
      <protection hidden="1"/>
    </xf>
    <xf numFmtId="0" fontId="16" fillId="2" borderId="5" xfId="0" applyFont="1" applyFill="1" applyBorder="1" applyAlignment="1" applyProtection="1">
      <alignment horizontal="center" vertical="center" wrapText="1"/>
      <protection hidden="1"/>
    </xf>
    <xf numFmtId="0" fontId="48" fillId="2" borderId="5" xfId="0" applyFont="1" applyFill="1" applyBorder="1" applyAlignment="1" applyProtection="1">
      <alignment horizontal="center" vertical="center"/>
      <protection hidden="1"/>
    </xf>
    <xf numFmtId="0" fontId="48" fillId="2" borderId="5" xfId="0" applyFont="1" applyFill="1" applyBorder="1" applyAlignment="1" applyProtection="1">
      <alignment horizontal="center" vertical="center" wrapText="1"/>
      <protection hidden="1"/>
    </xf>
    <xf numFmtId="0" fontId="14" fillId="2" borderId="5" xfId="0" applyFont="1" applyFill="1" applyBorder="1" applyAlignment="1" applyProtection="1">
      <alignment horizontal="center" vertical="center"/>
      <protection hidden="1"/>
    </xf>
    <xf numFmtId="49" fontId="14" fillId="4" borderId="13" xfId="0" applyNumberFormat="1" applyFont="1" applyFill="1" applyBorder="1" applyAlignment="1" applyProtection="1">
      <alignment horizontal="center" vertical="center"/>
      <protection hidden="1"/>
    </xf>
    <xf numFmtId="49" fontId="14" fillId="4" borderId="14" xfId="0" applyNumberFormat="1" applyFont="1" applyFill="1" applyBorder="1" applyAlignment="1" applyProtection="1">
      <alignment horizontal="center" vertical="center"/>
      <protection hidden="1"/>
    </xf>
    <xf numFmtId="49" fontId="14" fillId="4" borderId="15" xfId="0" applyNumberFormat="1" applyFont="1" applyFill="1" applyBorder="1" applyAlignment="1" applyProtection="1">
      <alignment horizontal="center" vertical="center"/>
      <protection hidden="1"/>
    </xf>
    <xf numFmtId="0" fontId="16" fillId="4" borderId="13" xfId="0" applyFont="1" applyFill="1" applyBorder="1" applyAlignment="1" applyProtection="1">
      <alignment horizontal="center" vertical="center"/>
      <protection hidden="1"/>
    </xf>
    <xf numFmtId="0" fontId="16" fillId="4" borderId="14" xfId="0" applyFont="1" applyFill="1" applyBorder="1" applyAlignment="1" applyProtection="1">
      <alignment horizontal="center" vertical="center"/>
      <protection hidden="1"/>
    </xf>
    <xf numFmtId="0" fontId="16" fillId="4" borderId="15" xfId="0" applyFont="1" applyFill="1" applyBorder="1" applyAlignment="1" applyProtection="1">
      <alignment horizontal="center" vertical="center"/>
      <protection hidden="1"/>
    </xf>
    <xf numFmtId="0" fontId="22" fillId="4" borderId="4" xfId="0" applyFont="1" applyFill="1" applyBorder="1" applyAlignment="1" applyProtection="1">
      <alignment horizontal="center" vertical="center"/>
      <protection hidden="1"/>
    </xf>
    <xf numFmtId="0" fontId="16" fillId="4" borderId="2" xfId="0" applyFont="1" applyFill="1" applyBorder="1" applyAlignment="1" applyProtection="1">
      <alignment horizontal="left" vertical="center"/>
      <protection hidden="1"/>
    </xf>
    <xf numFmtId="0" fontId="16" fillId="4" borderId="3" xfId="0" applyFont="1" applyFill="1" applyBorder="1" applyAlignment="1" applyProtection="1">
      <alignment horizontal="left" vertical="center"/>
      <protection hidden="1"/>
    </xf>
    <xf numFmtId="1" fontId="87" fillId="4" borderId="2" xfId="0" applyNumberFormat="1" applyFont="1" applyFill="1" applyBorder="1" applyAlignment="1" applyProtection="1">
      <alignment horizontal="center" vertical="center"/>
      <protection locked="0"/>
    </xf>
    <xf numFmtId="0" fontId="87" fillId="4"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protection hidden="1"/>
    </xf>
    <xf numFmtId="0" fontId="16" fillId="2" borderId="8" xfId="0" applyFont="1" applyFill="1" applyBorder="1" applyAlignment="1" applyProtection="1">
      <alignment horizontal="center" vertical="center"/>
      <protection hidden="1"/>
    </xf>
    <xf numFmtId="0" fontId="16" fillId="2" borderId="9" xfId="0" applyFont="1" applyFill="1" applyBorder="1" applyAlignment="1" applyProtection="1">
      <alignment horizontal="center" vertical="center"/>
      <protection hidden="1"/>
    </xf>
    <xf numFmtId="0" fontId="16" fillId="2" borderId="10" xfId="0" applyFont="1" applyFill="1" applyBorder="1" applyAlignment="1" applyProtection="1">
      <alignment horizontal="center" vertical="center"/>
      <protection hidden="1"/>
    </xf>
    <xf numFmtId="0" fontId="16" fillId="2" borderId="11"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6" fillId="2" borderId="12" xfId="0" applyFont="1" applyFill="1" applyBorder="1" applyAlignment="1" applyProtection="1">
      <alignment horizontal="center" vertical="center"/>
      <protection hidden="1"/>
    </xf>
    <xf numFmtId="49" fontId="13" fillId="0" borderId="13" xfId="0" applyNumberFormat="1" applyFont="1" applyBorder="1" applyAlignment="1" applyProtection="1">
      <alignment horizontal="center" vertical="center" wrapText="1"/>
      <protection hidden="1"/>
    </xf>
    <xf numFmtId="49" fontId="13" fillId="0" borderId="14" xfId="0" applyNumberFormat="1" applyFont="1" applyBorder="1" applyAlignment="1" applyProtection="1">
      <alignment horizontal="center" vertical="center" wrapText="1"/>
      <protection hidden="1"/>
    </xf>
    <xf numFmtId="49" fontId="13" fillId="0" borderId="15" xfId="0" applyNumberFormat="1" applyFont="1" applyBorder="1" applyAlignment="1" applyProtection="1">
      <alignment horizontal="center" vertical="center" wrapText="1"/>
      <protection hidden="1"/>
    </xf>
    <xf numFmtId="0" fontId="16" fillId="0" borderId="13"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16" fillId="0" borderId="15"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0" fontId="13" fillId="0" borderId="14" xfId="0" applyFont="1" applyBorder="1" applyAlignment="1" applyProtection="1">
      <alignment horizontal="center" vertical="center" wrapText="1"/>
      <protection hidden="1"/>
    </xf>
    <xf numFmtId="0" fontId="13" fillId="0" borderId="15" xfId="0" applyFont="1" applyBorder="1" applyAlignment="1" applyProtection="1">
      <alignment horizontal="center" vertical="center" wrapText="1"/>
      <protection hidden="1"/>
    </xf>
    <xf numFmtId="0" fontId="76" fillId="0" borderId="2" xfId="0" applyFont="1" applyBorder="1" applyAlignment="1" applyProtection="1">
      <alignment horizontal="right" vertical="center" wrapText="1"/>
      <protection hidden="1"/>
    </xf>
    <xf numFmtId="0" fontId="76" fillId="0" borderId="3" xfId="0" applyFont="1" applyBorder="1" applyAlignment="1" applyProtection="1">
      <alignment horizontal="right" vertical="center" wrapText="1"/>
      <protection hidden="1"/>
    </xf>
    <xf numFmtId="0" fontId="76" fillId="0" borderId="4" xfId="0" applyFont="1" applyBorder="1" applyAlignment="1" applyProtection="1">
      <alignment horizontal="right" vertical="center" wrapText="1"/>
      <protection hidden="1"/>
    </xf>
    <xf numFmtId="0" fontId="10" fillId="0" borderId="0" xfId="0" applyFont="1" applyAlignment="1" applyProtection="1">
      <alignment horizontal="left" vertical="top" wrapText="1"/>
      <protection hidden="1"/>
    </xf>
    <xf numFmtId="0" fontId="63" fillId="4" borderId="0" xfId="0" applyFont="1" applyFill="1" applyAlignment="1" applyProtection="1">
      <alignment horizontal="left"/>
      <protection hidden="1"/>
    </xf>
    <xf numFmtId="0" fontId="63" fillId="0" borderId="0" xfId="0" applyFont="1" applyAlignment="1" applyProtection="1">
      <alignment horizontal="left"/>
      <protection hidden="1"/>
    </xf>
    <xf numFmtId="0" fontId="16" fillId="4" borderId="5" xfId="0" applyFont="1" applyFill="1" applyBorder="1" applyAlignment="1" applyProtection="1">
      <alignment horizontal="left" vertical="center" wrapText="1"/>
      <protection hidden="1"/>
    </xf>
    <xf numFmtId="0" fontId="14" fillId="2" borderId="5" xfId="0" applyFont="1" applyFill="1" applyBorder="1" applyAlignment="1" applyProtection="1">
      <alignment horizontal="center" vertical="center" wrapText="1"/>
      <protection hidden="1"/>
    </xf>
    <xf numFmtId="0" fontId="14" fillId="2" borderId="8"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49" fontId="10" fillId="0" borderId="13" xfId="0" applyNumberFormat="1" applyFont="1" applyBorder="1" applyAlignment="1" applyProtection="1">
      <alignment horizontal="center" vertical="center" wrapText="1"/>
      <protection hidden="1"/>
    </xf>
    <xf numFmtId="49" fontId="10" fillId="0" borderId="14" xfId="0" applyNumberFormat="1" applyFont="1" applyBorder="1" applyAlignment="1" applyProtection="1">
      <alignment horizontal="center" vertical="center" wrapText="1"/>
      <protection hidden="1"/>
    </xf>
    <xf numFmtId="0" fontId="16" fillId="0" borderId="13" xfId="0" applyFont="1" applyBorder="1" applyAlignment="1" applyProtection="1">
      <alignment horizontal="left" vertical="center" wrapText="1"/>
      <protection hidden="1"/>
    </xf>
    <xf numFmtId="0" fontId="16" fillId="0" borderId="14" xfId="0" applyFont="1" applyBorder="1" applyAlignment="1" applyProtection="1">
      <alignment horizontal="left" vertical="center" wrapText="1"/>
      <protection hidden="1"/>
    </xf>
    <xf numFmtId="49" fontId="16" fillId="0" borderId="13" xfId="0" applyNumberFormat="1" applyFont="1" applyBorder="1" applyAlignment="1" applyProtection="1">
      <alignment horizontal="center" vertical="center" wrapText="1"/>
      <protection hidden="1"/>
    </xf>
    <xf numFmtId="49" fontId="16" fillId="0" borderId="14" xfId="0" applyNumberFormat="1" applyFont="1" applyBorder="1" applyAlignment="1" applyProtection="1">
      <alignment horizontal="center" vertical="center" wrapText="1"/>
      <protection hidden="1"/>
    </xf>
    <xf numFmtId="0" fontId="16" fillId="0" borderId="15" xfId="0" applyFont="1" applyBorder="1" applyAlignment="1" applyProtection="1">
      <alignment horizontal="left" vertical="center" wrapText="1"/>
      <protection hidden="1"/>
    </xf>
    <xf numFmtId="0" fontId="16" fillId="0" borderId="2" xfId="0" applyFont="1" applyBorder="1" applyAlignment="1" applyProtection="1">
      <alignment horizontal="right" vertical="center"/>
      <protection hidden="1"/>
    </xf>
    <xf numFmtId="0" fontId="16" fillId="0" borderId="3" xfId="0" applyFont="1" applyBorder="1" applyAlignment="1" applyProtection="1">
      <alignment horizontal="right" vertical="center"/>
      <protection hidden="1"/>
    </xf>
    <xf numFmtId="0" fontId="16" fillId="2" borderId="2" xfId="0" applyFont="1" applyFill="1" applyBorder="1" applyAlignment="1" applyProtection="1">
      <alignment horizontal="center" vertical="center"/>
      <protection hidden="1"/>
    </xf>
    <xf numFmtId="0" fontId="16" fillId="2" borderId="4" xfId="0" applyFont="1" applyFill="1" applyBorder="1" applyAlignment="1" applyProtection="1">
      <alignment horizontal="center" vertical="center"/>
      <protection hidden="1"/>
    </xf>
    <xf numFmtId="0" fontId="27" fillId="0" borderId="2" xfId="0" applyFont="1" applyBorder="1" applyAlignment="1" applyProtection="1">
      <alignment horizontal="right" vertical="center"/>
      <protection hidden="1"/>
    </xf>
    <xf numFmtId="0" fontId="27" fillId="0" borderId="3" xfId="0" applyFont="1" applyBorder="1" applyAlignment="1" applyProtection="1">
      <alignment horizontal="right" vertical="center"/>
      <protection hidden="1"/>
    </xf>
    <xf numFmtId="0" fontId="14" fillId="0" borderId="9" xfId="0" applyFont="1" applyBorder="1" applyAlignment="1" applyProtection="1">
      <alignment horizontal="left" vertical="top" wrapText="1"/>
      <protection hidden="1"/>
    </xf>
    <xf numFmtId="0" fontId="16" fillId="4" borderId="29" xfId="0" applyFont="1" applyFill="1" applyBorder="1" applyAlignment="1" applyProtection="1">
      <alignment horizontal="center" vertical="center"/>
      <protection hidden="1"/>
    </xf>
    <xf numFmtId="0" fontId="16" fillId="4" borderId="30" xfId="0" applyFont="1" applyFill="1" applyBorder="1" applyAlignment="1" applyProtection="1">
      <alignment horizontal="center" vertical="center"/>
      <protection hidden="1"/>
    </xf>
    <xf numFmtId="0" fontId="11" fillId="0" borderId="8" xfId="0" applyFont="1" applyBorder="1" applyAlignment="1" applyProtection="1">
      <alignment horizontal="center" vertical="center" wrapText="1"/>
      <protection hidden="1"/>
    </xf>
    <xf numFmtId="0" fontId="11" fillId="0" borderId="9" xfId="0" applyFont="1" applyBorder="1" applyAlignment="1" applyProtection="1">
      <alignment horizontal="center" vertical="center" wrapText="1"/>
      <protection hidden="1"/>
    </xf>
    <xf numFmtId="0" fontId="11" fillId="0" borderId="10" xfId="0" applyFont="1" applyBorder="1" applyAlignment="1" applyProtection="1">
      <alignment horizontal="center" vertical="center" wrapText="1"/>
      <protection hidden="1"/>
    </xf>
    <xf numFmtId="0" fontId="75" fillId="0" borderId="2" xfId="1" applyFont="1" applyBorder="1" applyAlignment="1" applyProtection="1">
      <alignment horizontal="left"/>
      <protection hidden="1"/>
    </xf>
    <xf numFmtId="0" fontId="75" fillId="0" borderId="3" xfId="1" applyFont="1" applyBorder="1" applyAlignment="1" applyProtection="1">
      <alignment horizontal="left"/>
      <protection hidden="1"/>
    </xf>
    <xf numFmtId="0" fontId="75" fillId="0" borderId="4" xfId="1" applyFont="1" applyBorder="1" applyAlignment="1" applyProtection="1">
      <alignment horizontal="left"/>
      <protection hidden="1"/>
    </xf>
    <xf numFmtId="0" fontId="98" fillId="0" borderId="2" xfId="0" applyFont="1" applyBorder="1" applyAlignment="1" applyProtection="1">
      <alignment horizontal="left" vertical="center"/>
      <protection hidden="1"/>
    </xf>
    <xf numFmtId="0" fontId="98" fillId="0" borderId="3" xfId="0" applyFont="1" applyBorder="1" applyAlignment="1" applyProtection="1">
      <alignment horizontal="left" vertical="center"/>
      <protection hidden="1"/>
    </xf>
    <xf numFmtId="0" fontId="98" fillId="0" borderId="4" xfId="0" applyFont="1" applyBorder="1" applyAlignment="1" applyProtection="1">
      <alignment horizontal="left" vertical="center"/>
      <protection hidden="1"/>
    </xf>
    <xf numFmtId="0" fontId="105" fillId="0" borderId="3" xfId="0" applyFont="1" applyBorder="1" applyAlignment="1" applyProtection="1">
      <alignment horizontal="center" vertical="top"/>
      <protection hidden="1"/>
    </xf>
    <xf numFmtId="0" fontId="16" fillId="0" borderId="0" xfId="0" applyFont="1" applyAlignment="1" applyProtection="1">
      <alignment horizontal="left" vertical="top" wrapText="1"/>
      <protection hidden="1"/>
    </xf>
    <xf numFmtId="0" fontId="16" fillId="0" borderId="2" xfId="0" applyFont="1" applyBorder="1" applyAlignment="1" applyProtection="1">
      <alignment horizontal="right" vertical="top"/>
      <protection hidden="1"/>
    </xf>
    <xf numFmtId="0" fontId="16" fillId="0" borderId="3" xfId="0" applyFont="1" applyBorder="1" applyAlignment="1" applyProtection="1">
      <alignment horizontal="right" vertical="top"/>
      <protection hidden="1"/>
    </xf>
    <xf numFmtId="0" fontId="16" fillId="0" borderId="4" xfId="0" applyFont="1" applyBorder="1" applyAlignment="1" applyProtection="1">
      <alignment horizontal="right" vertical="top"/>
      <protection hidden="1"/>
    </xf>
    <xf numFmtId="0" fontId="16" fillId="0" borderId="2" xfId="0" applyFont="1" applyBorder="1" applyAlignment="1" applyProtection="1">
      <alignment horizontal="right" vertical="center" wrapText="1"/>
      <protection hidden="1"/>
    </xf>
    <xf numFmtId="0" fontId="16" fillId="0" borderId="3" xfId="0" applyFont="1" applyBorder="1" applyAlignment="1" applyProtection="1">
      <alignment horizontal="right" vertical="center" wrapText="1"/>
      <protection hidden="1"/>
    </xf>
    <xf numFmtId="0" fontId="16" fillId="0" borderId="2" xfId="0" applyFont="1" applyBorder="1" applyAlignment="1" applyProtection="1">
      <alignment horizontal="left" vertical="center" wrapText="1"/>
      <protection hidden="1"/>
    </xf>
    <xf numFmtId="0" fontId="16" fillId="0" borderId="3" xfId="0" applyFont="1" applyBorder="1" applyAlignment="1" applyProtection="1">
      <alignment horizontal="left" vertical="center" wrapText="1"/>
      <protection hidden="1"/>
    </xf>
    <xf numFmtId="0" fontId="16" fillId="0" borderId="4" xfId="0" applyFont="1" applyBorder="1" applyAlignment="1" applyProtection="1">
      <alignment horizontal="left" vertical="center" wrapText="1"/>
      <protection hidden="1"/>
    </xf>
    <xf numFmtId="0" fontId="27" fillId="2" borderId="2" xfId="0" applyFont="1" applyFill="1" applyBorder="1" applyAlignment="1" applyProtection="1">
      <alignment horizontal="left"/>
      <protection hidden="1"/>
    </xf>
    <xf numFmtId="0" fontId="27" fillId="2" borderId="3" xfId="0" applyFont="1" applyFill="1" applyBorder="1" applyAlignment="1" applyProtection="1">
      <alignment horizontal="left"/>
      <protection hidden="1"/>
    </xf>
    <xf numFmtId="0" fontId="27" fillId="2" borderId="4" xfId="0" applyFont="1" applyFill="1" applyBorder="1" applyAlignment="1" applyProtection="1">
      <alignment horizontal="left"/>
      <protection hidden="1"/>
    </xf>
    <xf numFmtId="0" fontId="16" fillId="0" borderId="13" xfId="0" applyFont="1" applyBorder="1" applyAlignment="1" applyProtection="1">
      <alignment horizontal="right" vertical="top"/>
      <protection hidden="1"/>
    </xf>
    <xf numFmtId="0" fontId="16" fillId="0" borderId="14" xfId="0" applyFont="1" applyBorder="1" applyAlignment="1" applyProtection="1">
      <alignment horizontal="right" vertical="top"/>
      <protection hidden="1"/>
    </xf>
    <xf numFmtId="0" fontId="16" fillId="0" borderId="15" xfId="0" applyFont="1" applyBorder="1" applyAlignment="1" applyProtection="1">
      <alignment horizontal="right" vertical="top"/>
      <protection hidden="1"/>
    </xf>
    <xf numFmtId="0" fontId="16" fillId="0" borderId="8" xfId="0" applyFont="1" applyBorder="1" applyAlignment="1" applyProtection="1">
      <alignment horizontal="left"/>
      <protection hidden="1"/>
    </xf>
    <xf numFmtId="0" fontId="16" fillId="0" borderId="9" xfId="0" applyFont="1" applyBorder="1" applyAlignment="1" applyProtection="1">
      <alignment horizontal="left"/>
      <protection hidden="1"/>
    </xf>
    <xf numFmtId="0" fontId="16" fillId="0" borderId="10" xfId="0" applyFont="1" applyBorder="1" applyAlignment="1" applyProtection="1">
      <alignment horizontal="left"/>
      <protection hidden="1"/>
    </xf>
    <xf numFmtId="0" fontId="16" fillId="0" borderId="2"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16" fillId="0" borderId="7" xfId="0" applyFont="1" applyBorder="1" applyAlignment="1" applyProtection="1">
      <alignment horizontal="right"/>
      <protection hidden="1"/>
    </xf>
    <xf numFmtId="0" fontId="16" fillId="0" borderId="0" xfId="0" applyFont="1" applyAlignment="1" applyProtection="1">
      <alignment horizontal="right"/>
      <protection hidden="1"/>
    </xf>
    <xf numFmtId="0" fontId="16" fillId="0" borderId="6" xfId="0" applyFont="1" applyBorder="1" applyAlignment="1" applyProtection="1">
      <alignment horizontal="right"/>
      <protection hidden="1"/>
    </xf>
    <xf numFmtId="0" fontId="16" fillId="0" borderId="11" xfId="0" applyFont="1" applyBorder="1" applyAlignment="1" applyProtection="1">
      <alignment horizontal="right"/>
      <protection hidden="1"/>
    </xf>
    <xf numFmtId="0" fontId="16" fillId="0" borderId="1" xfId="0" applyFont="1" applyBorder="1" applyAlignment="1" applyProtection="1">
      <alignment horizontal="right"/>
      <protection hidden="1"/>
    </xf>
    <xf numFmtId="0" fontId="16" fillId="0" borderId="12" xfId="0" applyFont="1" applyBorder="1" applyAlignment="1" applyProtection="1">
      <alignment horizontal="right"/>
      <protection hidden="1"/>
    </xf>
    <xf numFmtId="0" fontId="62" fillId="0" borderId="2" xfId="0" applyFont="1" applyBorder="1" applyAlignment="1" applyProtection="1">
      <alignment horizontal="center" vertical="center" wrapText="1"/>
      <protection hidden="1"/>
    </xf>
    <xf numFmtId="0" fontId="62" fillId="0" borderId="3" xfId="0" applyFont="1" applyBorder="1" applyAlignment="1" applyProtection="1">
      <alignment horizontal="center" vertical="center" wrapText="1"/>
      <protection hidden="1"/>
    </xf>
    <xf numFmtId="0" fontId="62" fillId="0" borderId="4" xfId="0" applyFont="1" applyBorder="1" applyAlignment="1" applyProtection="1">
      <alignment horizontal="center" vertical="center" wrapText="1"/>
      <protection hidden="1"/>
    </xf>
    <xf numFmtId="0" fontId="16" fillId="0" borderId="5" xfId="0" applyFont="1" applyBorder="1" applyAlignment="1" applyProtection="1">
      <alignment horizontal="right" vertical="center" wrapText="1"/>
      <protection hidden="1"/>
    </xf>
    <xf numFmtId="0" fontId="102" fillId="0" borderId="3" xfId="0" applyFont="1" applyBorder="1" applyAlignment="1" applyProtection="1">
      <alignment horizontal="center" vertical="center" wrapText="1"/>
      <protection hidden="1"/>
    </xf>
    <xf numFmtId="0" fontId="102" fillId="0" borderId="3" xfId="0" applyFont="1" applyBorder="1" applyAlignment="1" applyProtection="1">
      <alignment horizontal="center" vertical="center"/>
      <protection hidden="1"/>
    </xf>
    <xf numFmtId="0" fontId="64" fillId="0" borderId="8" xfId="0" applyFont="1" applyBorder="1" applyAlignment="1" applyProtection="1">
      <alignment horizontal="center" vertical="center" wrapText="1"/>
      <protection hidden="1"/>
    </xf>
    <xf numFmtId="0" fontId="64" fillId="0" borderId="9" xfId="0" applyFont="1" applyBorder="1" applyAlignment="1" applyProtection="1">
      <alignment horizontal="center" vertical="center" wrapText="1"/>
      <protection hidden="1"/>
    </xf>
    <xf numFmtId="0" fontId="64" fillId="0" borderId="10" xfId="0" applyFont="1" applyBorder="1" applyAlignment="1" applyProtection="1">
      <alignment horizontal="center" vertical="center" wrapText="1"/>
      <protection hidden="1"/>
    </xf>
    <xf numFmtId="0" fontId="13" fillId="0" borderId="2" xfId="0" applyFont="1" applyBorder="1" applyAlignment="1" applyProtection="1">
      <alignment horizontal="right" vertical="center"/>
      <protection hidden="1"/>
    </xf>
    <xf numFmtId="0" fontId="13" fillId="0" borderId="3" xfId="0" applyFont="1" applyBorder="1" applyAlignment="1" applyProtection="1">
      <alignment horizontal="right" vertical="center"/>
      <protection hidden="1"/>
    </xf>
    <xf numFmtId="0" fontId="13" fillId="0" borderId="4" xfId="0" applyFont="1" applyBorder="1" applyAlignment="1" applyProtection="1">
      <alignment horizontal="right" vertical="center"/>
      <protection hidden="1"/>
    </xf>
    <xf numFmtId="0" fontId="14" fillId="0" borderId="0" xfId="0" applyFont="1" applyAlignment="1" applyProtection="1">
      <alignment horizontal="right" vertical="center"/>
      <protection hidden="1"/>
    </xf>
    <xf numFmtId="0" fontId="52" fillId="0" borderId="5" xfId="0" applyFont="1" applyBorder="1" applyAlignment="1" applyProtection="1">
      <alignment horizontal="right" vertical="center" wrapText="1"/>
      <protection hidden="1"/>
    </xf>
    <xf numFmtId="0" fontId="52" fillId="0" borderId="5" xfId="0" applyFont="1" applyBorder="1" applyAlignment="1" applyProtection="1">
      <alignment horizontal="right" vertical="center"/>
      <protection hidden="1"/>
    </xf>
    <xf numFmtId="0" fontId="7" fillId="0" borderId="5" xfId="0" applyFont="1" applyBorder="1" applyAlignment="1" applyProtection="1">
      <alignment horizontal="right" vertical="center"/>
      <protection hidden="1"/>
    </xf>
    <xf numFmtId="0" fontId="13" fillId="2" borderId="13" xfId="0" applyFont="1" applyFill="1" applyBorder="1" applyAlignment="1" applyProtection="1">
      <alignment horizontal="center" vertical="center" wrapText="1"/>
      <protection hidden="1"/>
    </xf>
    <xf numFmtId="0" fontId="13" fillId="2" borderId="15" xfId="0" applyFont="1" applyFill="1" applyBorder="1" applyAlignment="1" applyProtection="1">
      <alignment horizontal="center" vertical="center" wrapText="1"/>
      <protection hidden="1"/>
    </xf>
    <xf numFmtId="0" fontId="54" fillId="0" borderId="2" xfId="0" applyFont="1" applyBorder="1" applyAlignment="1" applyProtection="1">
      <alignment horizontal="left" vertical="center" wrapText="1"/>
      <protection hidden="1"/>
    </xf>
    <xf numFmtId="0" fontId="54" fillId="0" borderId="3" xfId="0" applyFont="1" applyBorder="1" applyAlignment="1" applyProtection="1">
      <alignment horizontal="left" vertical="center" wrapText="1"/>
      <protection hidden="1"/>
    </xf>
    <xf numFmtId="0" fontId="49" fillId="0" borderId="3" xfId="0" applyFont="1" applyBorder="1" applyAlignment="1" applyProtection="1">
      <alignment horizontal="left" vertical="center"/>
      <protection hidden="1"/>
    </xf>
    <xf numFmtId="0" fontId="49" fillId="0" borderId="4" xfId="0" applyFont="1" applyBorder="1" applyAlignment="1" applyProtection="1">
      <alignment horizontal="left" vertical="center"/>
      <protection hidden="1"/>
    </xf>
    <xf numFmtId="0" fontId="13" fillId="2" borderId="5" xfId="0" applyFont="1" applyFill="1" applyBorder="1" applyAlignment="1" applyProtection="1">
      <alignment horizontal="center" vertical="center" wrapText="1"/>
      <protection hidden="1"/>
    </xf>
    <xf numFmtId="0" fontId="13" fillId="2" borderId="14" xfId="0" applyFont="1" applyFill="1" applyBorder="1" applyAlignment="1" applyProtection="1">
      <alignment horizontal="center" vertical="center" wrapText="1"/>
      <protection hidden="1"/>
    </xf>
    <xf numFmtId="0" fontId="13" fillId="2" borderId="5" xfId="0" applyFont="1" applyFill="1" applyBorder="1" applyAlignment="1" applyProtection="1">
      <alignment horizontal="center" vertical="center"/>
      <protection hidden="1"/>
    </xf>
    <xf numFmtId="0" fontId="14" fillId="0" borderId="13" xfId="0" applyFont="1" applyBorder="1" applyAlignment="1" applyProtection="1">
      <alignment horizontal="left" vertical="top" wrapText="1"/>
      <protection hidden="1"/>
    </xf>
    <xf numFmtId="0" fontId="14" fillId="0" borderId="14" xfId="0" applyFont="1" applyBorder="1" applyAlignment="1" applyProtection="1">
      <alignment horizontal="left" vertical="top" wrapText="1"/>
      <protection hidden="1"/>
    </xf>
    <xf numFmtId="0" fontId="14" fillId="0" borderId="15" xfId="0" applyFont="1" applyBorder="1" applyAlignment="1" applyProtection="1">
      <alignment horizontal="left" vertical="top" wrapText="1"/>
      <protection hidden="1"/>
    </xf>
    <xf numFmtId="1" fontId="10" fillId="0" borderId="13" xfId="0" applyNumberFormat="1" applyFont="1" applyBorder="1" applyAlignment="1" applyProtection="1">
      <alignment horizontal="center" vertical="center" wrapText="1"/>
      <protection hidden="1"/>
    </xf>
    <xf numFmtId="1" fontId="10" fillId="0" borderId="14" xfId="0" applyNumberFormat="1" applyFont="1" applyBorder="1" applyAlignment="1" applyProtection="1">
      <alignment horizontal="center" vertical="center" wrapText="1"/>
      <protection hidden="1"/>
    </xf>
    <xf numFmtId="1" fontId="10" fillId="0" borderId="15" xfId="0" applyNumberFormat="1" applyFont="1" applyBorder="1" applyAlignment="1" applyProtection="1">
      <alignment horizontal="center" vertical="center" wrapText="1"/>
      <protection hidden="1"/>
    </xf>
    <xf numFmtId="1" fontId="10" fillId="0" borderId="13" xfId="0" applyNumberFormat="1" applyFont="1" applyBorder="1" applyAlignment="1" applyProtection="1">
      <alignment horizontal="center" vertical="center"/>
      <protection hidden="1"/>
    </xf>
    <xf numFmtId="1" fontId="10" fillId="0" borderId="14" xfId="0" applyNumberFormat="1" applyFont="1" applyBorder="1" applyAlignment="1" applyProtection="1">
      <alignment horizontal="center" vertical="center"/>
      <protection hidden="1"/>
    </xf>
    <xf numFmtId="1" fontId="10" fillId="0" borderId="15" xfId="0" applyNumberFormat="1" applyFont="1" applyBorder="1" applyAlignment="1" applyProtection="1">
      <alignment horizontal="center" vertical="center"/>
      <protection hidden="1"/>
    </xf>
    <xf numFmtId="0" fontId="14" fillId="0" borderId="13" xfId="0" applyFont="1" applyBorder="1" applyAlignment="1" applyProtection="1">
      <alignment horizontal="left" vertical="top"/>
      <protection hidden="1"/>
    </xf>
    <xf numFmtId="0" fontId="14" fillId="0" borderId="14" xfId="0" applyFont="1" applyBorder="1" applyAlignment="1" applyProtection="1">
      <alignment horizontal="left" vertical="top"/>
      <protection hidden="1"/>
    </xf>
    <xf numFmtId="0" fontId="14" fillId="0" borderId="15" xfId="0" applyFont="1" applyBorder="1" applyAlignment="1" applyProtection="1">
      <alignment horizontal="left" vertical="top"/>
      <protection hidden="1"/>
    </xf>
    <xf numFmtId="0" fontId="26" fillId="0" borderId="0" xfId="0" applyFont="1" applyAlignment="1" applyProtection="1">
      <alignment horizontal="left" vertical="top" wrapText="1"/>
      <protection hidden="1"/>
    </xf>
    <xf numFmtId="0" fontId="56" fillId="2" borderId="2" xfId="0" applyFont="1" applyFill="1" applyBorder="1" applyAlignment="1" applyProtection="1">
      <alignment horizontal="center" vertical="center" wrapText="1"/>
      <protection hidden="1"/>
    </xf>
    <xf numFmtId="0" fontId="56" fillId="2" borderId="3" xfId="0" applyFont="1" applyFill="1" applyBorder="1" applyAlignment="1" applyProtection="1">
      <alignment horizontal="center" vertical="center" wrapText="1"/>
      <protection hidden="1"/>
    </xf>
    <xf numFmtId="0" fontId="56" fillId="2" borderId="4" xfId="0" applyFont="1" applyFill="1" applyBorder="1" applyAlignment="1" applyProtection="1">
      <alignment horizontal="center" vertical="center" wrapText="1"/>
      <protection hidden="1"/>
    </xf>
    <xf numFmtId="1" fontId="10" fillId="0" borderId="26" xfId="0" applyNumberFormat="1" applyFont="1" applyBorder="1" applyAlignment="1" applyProtection="1">
      <alignment horizontal="center" vertical="center"/>
      <protection hidden="1"/>
    </xf>
    <xf numFmtId="1" fontId="10" fillId="0" borderId="27" xfId="0" applyNumberFormat="1" applyFont="1" applyBorder="1" applyAlignment="1" applyProtection="1">
      <alignment horizontal="center" vertical="center"/>
      <protection hidden="1"/>
    </xf>
    <xf numFmtId="1" fontId="10" fillId="0" borderId="28" xfId="0" applyNumberFormat="1" applyFont="1" applyBorder="1" applyAlignment="1" applyProtection="1">
      <alignment horizontal="center" vertical="center"/>
      <protection hidden="1"/>
    </xf>
    <xf numFmtId="0" fontId="13" fillId="2" borderId="2" xfId="0" applyFont="1" applyFill="1" applyBorder="1" applyAlignment="1" applyProtection="1">
      <alignment horizontal="center" vertical="center" wrapText="1"/>
      <protection hidden="1"/>
    </xf>
    <xf numFmtId="0" fontId="13" fillId="2" borderId="3" xfId="0" applyFont="1" applyFill="1" applyBorder="1" applyAlignment="1" applyProtection="1">
      <alignment horizontal="center" vertical="center" wrapText="1"/>
      <protection hidden="1"/>
    </xf>
    <xf numFmtId="0" fontId="13" fillId="2" borderId="4" xfId="0" applyFont="1" applyFill="1" applyBorder="1" applyAlignment="1" applyProtection="1">
      <alignment horizontal="center" vertical="center" wrapText="1"/>
      <protection hidden="1"/>
    </xf>
    <xf numFmtId="0" fontId="91" fillId="4" borderId="15" xfId="0" applyFont="1" applyFill="1" applyBorder="1" applyAlignment="1" applyProtection="1">
      <alignment horizontal="center" vertical="center" wrapText="1"/>
      <protection hidden="1"/>
    </xf>
    <xf numFmtId="0" fontId="51" fillId="0" borderId="5" xfId="0" applyFont="1" applyBorder="1" applyAlignment="1" applyProtection="1">
      <alignment horizontal="left" wrapText="1"/>
      <protection hidden="1"/>
    </xf>
    <xf numFmtId="1" fontId="51" fillId="0" borderId="5" xfId="0" applyNumberFormat="1" applyFont="1" applyBorder="1" applyAlignment="1" applyProtection="1">
      <alignment horizontal="center" vertical="center"/>
      <protection hidden="1"/>
    </xf>
    <xf numFmtId="164" fontId="7" fillId="0" borderId="5" xfId="0" applyNumberFormat="1" applyFont="1" applyBorder="1" applyAlignment="1" applyProtection="1">
      <alignment horizontal="center" vertical="center"/>
      <protection hidden="1"/>
    </xf>
    <xf numFmtId="9" fontId="53" fillId="0" borderId="0" xfId="6" applyFont="1" applyBorder="1" applyAlignment="1" applyProtection="1">
      <alignment horizontal="center" vertical="center"/>
      <protection hidden="1"/>
    </xf>
    <xf numFmtId="0" fontId="7"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0" fontId="10" fillId="0" borderId="0" xfId="0" applyFont="1" applyAlignment="1" applyProtection="1">
      <alignment horizontal="center"/>
      <protection hidden="1"/>
    </xf>
    <xf numFmtId="165" fontId="88" fillId="4" borderId="5" xfId="0" applyNumberFormat="1" applyFont="1" applyFill="1" applyBorder="1" applyAlignment="1" applyProtection="1">
      <alignment horizontal="center" vertical="center"/>
      <protection locked="0"/>
    </xf>
    <xf numFmtId="164" fontId="10" fillId="4" borderId="5" xfId="0" applyNumberFormat="1" applyFont="1" applyFill="1" applyBorder="1" applyAlignment="1" applyProtection="1">
      <alignment horizontal="center" vertical="center"/>
      <protection hidden="1"/>
    </xf>
    <xf numFmtId="0" fontId="40" fillId="0" borderId="0" xfId="0" applyFont="1" applyAlignment="1">
      <alignment horizontal="center"/>
    </xf>
    <xf numFmtId="0" fontId="40" fillId="0" borderId="2" xfId="0" applyFont="1" applyBorder="1" applyAlignment="1">
      <alignment horizontal="center"/>
    </xf>
    <xf numFmtId="0" fontId="40" fillId="0" borderId="3" xfId="0" applyFont="1" applyBorder="1" applyAlignment="1">
      <alignment horizontal="center"/>
    </xf>
    <xf numFmtId="0" fontId="40" fillId="0" borderId="4" xfId="0" applyFont="1" applyBorder="1" applyAlignment="1">
      <alignment horizontal="center"/>
    </xf>
    <xf numFmtId="0" fontId="40" fillId="0" borderId="13" xfId="0" applyFont="1" applyBorder="1" applyAlignment="1">
      <alignment horizontal="center" vertical="center"/>
    </xf>
  </cellXfs>
  <cellStyles count="7">
    <cellStyle name="Hyperlink" xfId="5" builtinId="8"/>
    <cellStyle name="Normal" xfId="0" builtinId="0"/>
    <cellStyle name="Normal 2" xfId="3" xr:uid="{00000000-0005-0000-0000-000002000000}"/>
    <cellStyle name="Normal 3 5" xfId="4" xr:uid="{00000000-0005-0000-0000-000003000000}"/>
    <cellStyle name="Percent" xfId="6" builtinId="5"/>
    <cellStyle name="Standard_HWB Kurzverf. Formular" xfId="2" xr:uid="{00000000-0005-0000-0000-000005000000}"/>
    <cellStyle name="Standard_HWB Kurzverf. Formular (2)" xfId="1" xr:uid="{00000000-0005-0000-0000-000006000000}"/>
  </cellStyles>
  <dxfs count="245">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0000"/>
      </font>
    </dxf>
    <dxf>
      <font>
        <b/>
        <i val="0"/>
        <color rgb="FFFF0000"/>
      </font>
    </dxf>
    <dxf>
      <font>
        <b/>
        <i val="0"/>
        <color rgb="FFFF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00B050"/>
        </patternFill>
      </fill>
    </dxf>
    <dxf>
      <font>
        <color rgb="FFFF0000"/>
      </font>
    </dxf>
    <dxf>
      <font>
        <b/>
        <i val="0"/>
        <color rgb="FFFF0000"/>
      </font>
    </dxf>
    <dxf>
      <font>
        <b/>
        <i val="0"/>
        <color rgb="FFFF0000"/>
      </font>
    </dxf>
    <dxf>
      <fill>
        <patternFill>
          <bgColor theme="8" tint="0.79998168889431442"/>
        </patternFill>
      </fill>
    </dxf>
    <dxf>
      <font>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patternFill>
      </fill>
    </dxf>
    <dxf>
      <font>
        <b/>
        <i val="0"/>
        <color theme="0"/>
      </font>
      <fill>
        <patternFill>
          <bgColor rgb="FFFF0000"/>
        </patternFill>
      </fill>
    </dxf>
    <dxf>
      <font>
        <b/>
        <i val="0"/>
        <color theme="0"/>
      </font>
      <fill>
        <patternFill>
          <bgColor rgb="FFFF0000"/>
        </patternFill>
      </fill>
    </dxf>
    <dxf>
      <font>
        <color theme="0"/>
      </font>
    </dxf>
    <dxf>
      <font>
        <color rgb="FFFF0000"/>
      </font>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rgb="FFFF0000"/>
        </patternFill>
      </fill>
    </dxf>
    <dxf>
      <font>
        <color theme="0"/>
      </font>
    </dxf>
    <dxf>
      <font>
        <b/>
        <i val="0"/>
        <color rgb="FFFF0000"/>
      </font>
      <fill>
        <patternFill>
          <bgColor theme="8" tint="0.79998168889431442"/>
        </patternFill>
      </fill>
    </dxf>
    <dxf>
      <font>
        <color theme="0"/>
      </font>
      <fill>
        <patternFill>
          <bgColor rgb="FFFF0000"/>
        </patternFill>
      </fill>
    </dxf>
    <dxf>
      <font>
        <b val="0"/>
        <i/>
        <color rgb="FFFF0000"/>
      </font>
      <fill>
        <patternFill>
          <bgColor theme="8" tint="0.79998168889431442"/>
        </patternFill>
      </fill>
    </dxf>
    <dxf>
      <font>
        <color rgb="FFFF0000"/>
      </font>
      <fill>
        <patternFill>
          <bgColor theme="8" tint="0.79998168889431442"/>
        </patternFill>
      </fill>
    </dxf>
    <dxf>
      <font>
        <color theme="0"/>
      </font>
    </dxf>
    <dxf>
      <font>
        <color rgb="FFFF0000"/>
      </font>
      <fill>
        <patternFill>
          <bgColor theme="8" tint="0.79998168889431442"/>
        </patternFill>
      </fill>
    </dxf>
    <dxf>
      <font>
        <color theme="0"/>
      </font>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theme="0"/>
      </font>
    </dxf>
    <dxf>
      <font>
        <color rgb="FFFF0000"/>
      </font>
      <fill>
        <patternFill>
          <bgColor theme="8" tint="0.79998168889431442"/>
        </patternFill>
      </fill>
    </dxf>
    <dxf>
      <font>
        <color rgb="FFFF0000"/>
      </font>
      <fill>
        <patternFill>
          <bgColor theme="8" tint="0.79998168889431442"/>
        </patternFill>
      </fill>
    </dxf>
    <dxf>
      <font>
        <color theme="0"/>
      </font>
    </dxf>
    <dxf>
      <fill>
        <patternFill>
          <bgColor theme="8" tint="0.79998168889431442"/>
        </patternFill>
      </fill>
    </dxf>
    <dxf>
      <font>
        <color theme="0"/>
      </font>
      <fill>
        <patternFill>
          <bgColor rgb="FFFF0000"/>
        </patternFill>
      </fill>
    </dxf>
    <dxf>
      <font>
        <color theme="0"/>
      </font>
      <fill>
        <patternFill>
          <bgColor rgb="FFFF0000"/>
        </patternFill>
      </fill>
    </dxf>
    <dxf>
      <fill>
        <patternFill>
          <bgColor theme="8" tint="0.79998168889431442"/>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ont>
        <color theme="0"/>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i val="0"/>
        <color theme="0"/>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FF0000"/>
      </font>
    </dxf>
    <dxf>
      <font>
        <color rgb="FFFF0000"/>
      </font>
    </dxf>
    <dxf>
      <font>
        <color rgb="FFFF0000"/>
      </font>
    </dxf>
    <dxf>
      <font>
        <color rgb="FFFF0000"/>
      </font>
    </dxf>
    <dxf>
      <font>
        <color rgb="FFFF0000"/>
      </font>
    </dxf>
    <dxf>
      <font>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i val="0"/>
        <color rgb="FFFF0000"/>
      </font>
    </dxf>
    <dxf>
      <font>
        <b/>
        <i val="0"/>
        <color theme="0"/>
      </font>
      <fill>
        <patternFill>
          <bgColor rgb="FFFF0000"/>
        </patternFill>
      </fill>
    </dxf>
    <dxf>
      <font>
        <b/>
        <i val="0"/>
        <color theme="0"/>
      </font>
      <fill>
        <patternFill>
          <bgColor theme="0"/>
        </patternFill>
      </fill>
    </dxf>
    <dxf>
      <font>
        <color rgb="FFFF0000"/>
      </font>
      <fill>
        <patternFill>
          <bgColor theme="8" tint="0.79998168889431442"/>
        </patternFill>
      </fill>
    </dxf>
    <dxf>
      <font>
        <color theme="0"/>
      </font>
    </dxf>
    <dxf>
      <font>
        <color rgb="FFFF0000"/>
      </font>
      <fill>
        <patternFill>
          <bgColor theme="8" tint="0.79998168889431442"/>
        </patternFill>
      </fill>
    </dxf>
    <dxf>
      <font>
        <color theme="0"/>
      </font>
    </dxf>
    <dxf>
      <font>
        <color rgb="FFFF0000"/>
      </font>
      <fill>
        <patternFill>
          <bgColor theme="8" tint="0.79998168889431442"/>
        </patternFill>
      </fill>
    </dxf>
    <dxf>
      <font>
        <color rgb="FFFF0000"/>
      </font>
      <fill>
        <patternFill>
          <bgColor theme="8" tint="0.79998168889431442"/>
        </patternFill>
      </fill>
    </dxf>
    <dxf>
      <font>
        <color rgb="FFFF0000"/>
      </font>
      <fill>
        <patternFill>
          <bgColor theme="8" tint="0.79998168889431442"/>
        </patternFill>
      </fill>
    </dxf>
    <dxf>
      <font>
        <color theme="0"/>
      </font>
    </dxf>
    <dxf>
      <font>
        <color rgb="FFFF0000"/>
      </font>
      <fill>
        <patternFill>
          <bgColor theme="8" tint="0.79998168889431442"/>
        </patternFill>
      </fill>
    </dxf>
    <dxf>
      <font>
        <color rgb="FFFF0000"/>
      </font>
      <fill>
        <patternFill>
          <bgColor theme="8" tint="0.79998168889431442"/>
        </patternFill>
      </fill>
    </dxf>
    <dxf>
      <font>
        <color theme="0"/>
      </font>
    </dxf>
    <dxf>
      <fill>
        <patternFill>
          <bgColor theme="8" tint="0.79998168889431442"/>
        </patternFill>
      </fill>
    </dxf>
    <dxf>
      <font>
        <color theme="0"/>
      </font>
      <fill>
        <patternFill>
          <bgColor rgb="FFFF0000"/>
        </patternFill>
      </fill>
    </dxf>
    <dxf>
      <font>
        <color theme="0"/>
      </font>
      <fill>
        <patternFill>
          <bgColor rgb="FFFF0000"/>
        </patternFill>
      </fill>
    </dxf>
    <dxf>
      <fill>
        <patternFill>
          <bgColor theme="8" tint="0.79998168889431442"/>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ont>
        <color theme="0"/>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ill>
        <patternFill>
          <bgColor theme="8" tint="0.79998168889431442"/>
        </patternFill>
      </fill>
    </dxf>
    <dxf>
      <font>
        <color theme="0"/>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i val="0"/>
        <color theme="0"/>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FF0000"/>
      </font>
    </dxf>
    <dxf>
      <font>
        <color rgb="FFFF0000"/>
      </font>
    </dxf>
    <dxf>
      <font>
        <color rgb="FFFF0000"/>
      </font>
    </dxf>
    <dxf>
      <font>
        <color rgb="FFFF0000"/>
      </font>
    </dxf>
    <dxf>
      <font>
        <color rgb="FFFF0000"/>
      </font>
    </dxf>
    <dxf>
      <font>
        <color rgb="FFFF0000"/>
      </font>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FF"/>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s>
  <tableStyles count="0" defaultTableStyle="TableStyleMedium2" defaultPivotStyle="PivotStyleLight16"/>
  <colors>
    <mruColors>
      <color rgb="FFE1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V71"/>
  <sheetViews>
    <sheetView showGridLines="0" tabSelected="1" view="pageBreakPreview" zoomScaleNormal="100" zoomScaleSheetLayoutView="100" workbookViewId="0">
      <selection activeCell="Z50" sqref="Z50"/>
    </sheetView>
  </sheetViews>
  <sheetFormatPr defaultColWidth="8.85546875" defaultRowHeight="14.1"/>
  <cols>
    <col min="1" max="1" width="7.5703125" style="1" customWidth="1"/>
    <col min="2" max="13" width="9.5703125" style="1" customWidth="1"/>
    <col min="14" max="14" width="13.140625" style="1" customWidth="1"/>
    <col min="15" max="15" width="8.85546875" style="1" customWidth="1"/>
    <col min="16" max="17" width="8.85546875" style="1" hidden="1" customWidth="1"/>
    <col min="18" max="18" width="16" style="1" hidden="1" customWidth="1"/>
    <col min="19" max="22" width="8.85546875" style="1" hidden="1" customWidth="1"/>
    <col min="23" max="25" width="0" style="1" hidden="1" customWidth="1"/>
    <col min="26" max="16384" width="8.85546875" style="1"/>
  </cols>
  <sheetData>
    <row r="1" spans="1:14" ht="27" customHeight="1">
      <c r="A1" s="332" t="s">
        <v>0</v>
      </c>
      <c r="B1" s="332"/>
      <c r="C1" s="332"/>
      <c r="D1" s="332"/>
      <c r="E1" s="332"/>
      <c r="F1" s="332"/>
      <c r="G1" s="332"/>
      <c r="H1" s="332"/>
      <c r="I1" s="332"/>
      <c r="J1" s="332"/>
      <c r="K1" s="332"/>
      <c r="L1" s="332"/>
      <c r="M1" s="332"/>
      <c r="N1" s="332"/>
    </row>
    <row r="2" spans="1:14" s="3" customFormat="1" ht="4.3499999999999996" customHeight="1">
      <c r="A2" s="86"/>
      <c r="B2" s="86"/>
      <c r="C2" s="86"/>
      <c r="D2" s="86"/>
      <c r="E2" s="86"/>
      <c r="F2" s="86"/>
      <c r="G2" s="86"/>
      <c r="H2" s="86"/>
      <c r="I2" s="86"/>
      <c r="J2" s="86"/>
      <c r="K2" s="86"/>
      <c r="L2" s="86"/>
      <c r="M2" s="86"/>
      <c r="N2" s="86"/>
    </row>
    <row r="3" spans="1:14" ht="15.6">
      <c r="A3" s="335" t="s">
        <v>1</v>
      </c>
      <c r="B3" s="335"/>
      <c r="C3" s="335"/>
      <c r="D3" s="335"/>
      <c r="E3" s="334"/>
      <c r="F3" s="334"/>
      <c r="G3" s="334"/>
      <c r="H3" s="334"/>
      <c r="I3" s="334"/>
      <c r="J3" s="334"/>
      <c r="K3" s="88"/>
      <c r="L3" s="333" t="s">
        <v>2</v>
      </c>
      <c r="M3" s="333"/>
      <c r="N3" s="333"/>
    </row>
    <row r="4" spans="1:14" ht="15.6">
      <c r="A4" s="335" t="s">
        <v>3</v>
      </c>
      <c r="B4" s="335"/>
      <c r="C4" s="335"/>
      <c r="D4" s="335"/>
      <c r="E4" s="336"/>
      <c r="F4" s="336"/>
      <c r="G4" s="336"/>
      <c r="H4" s="336"/>
      <c r="I4" s="336"/>
      <c r="J4" s="336"/>
      <c r="K4" s="89"/>
      <c r="L4" s="301" t="s">
        <v>4</v>
      </c>
      <c r="M4" s="301"/>
      <c r="N4" s="301"/>
    </row>
    <row r="5" spans="1:14" ht="18.600000000000001">
      <c r="A5" s="335" t="s">
        <v>5</v>
      </c>
      <c r="B5" s="335"/>
      <c r="C5" s="335"/>
      <c r="D5" s="335"/>
      <c r="E5" s="311"/>
      <c r="F5" s="311"/>
      <c r="G5" s="90" t="s">
        <v>6</v>
      </c>
      <c r="H5" s="90"/>
      <c r="I5" s="90"/>
      <c r="J5" s="90"/>
      <c r="K5" s="346"/>
      <c r="L5" s="346"/>
      <c r="M5" s="346"/>
      <c r="N5" s="346"/>
    </row>
    <row r="6" spans="1:14" ht="4.3499999999999996" customHeight="1">
      <c r="A6" s="87"/>
      <c r="B6" s="87"/>
      <c r="C6" s="87"/>
      <c r="D6" s="87"/>
      <c r="E6" s="87"/>
      <c r="F6" s="87"/>
      <c r="G6" s="87"/>
      <c r="H6" s="90"/>
      <c r="I6" s="90"/>
      <c r="J6" s="90"/>
      <c r="K6" s="91"/>
      <c r="L6" s="91"/>
      <c r="M6" s="91"/>
      <c r="N6" s="91"/>
    </row>
    <row r="7" spans="1:14" s="2" customFormat="1" ht="20.100000000000001">
      <c r="A7" s="302" t="s">
        <v>7</v>
      </c>
      <c r="B7" s="303"/>
      <c r="C7" s="303"/>
      <c r="D7" s="303"/>
      <c r="E7" s="303"/>
      <c r="F7" s="303"/>
      <c r="G7" s="303"/>
      <c r="H7" s="303"/>
      <c r="I7" s="303"/>
      <c r="J7" s="303"/>
      <c r="K7" s="303"/>
      <c r="L7" s="303"/>
      <c r="M7" s="303"/>
      <c r="N7" s="304"/>
    </row>
    <row r="8" spans="1:14" s="2" customFormat="1" ht="15.6" customHeight="1">
      <c r="A8" s="92" t="s">
        <v>8</v>
      </c>
      <c r="B8" s="93"/>
      <c r="C8" s="93"/>
      <c r="D8" s="93"/>
      <c r="E8" s="93"/>
      <c r="F8" s="93"/>
      <c r="G8" s="93"/>
      <c r="H8" s="94"/>
      <c r="I8" s="94"/>
      <c r="J8" s="94"/>
      <c r="K8" s="94"/>
      <c r="L8" s="94"/>
      <c r="M8" s="94"/>
      <c r="N8" s="95"/>
    </row>
    <row r="9" spans="1:14" s="4" customFormat="1" ht="22.35" customHeight="1">
      <c r="A9" s="96" t="s">
        <v>9</v>
      </c>
      <c r="B9" s="312" t="s">
        <v>10</v>
      </c>
      <c r="C9" s="312"/>
      <c r="D9" s="312"/>
      <c r="E9" s="312"/>
      <c r="F9" s="312"/>
      <c r="G9" s="312"/>
      <c r="H9" s="312"/>
      <c r="I9" s="312"/>
      <c r="J9" s="312"/>
      <c r="K9" s="312"/>
      <c r="L9" s="312"/>
      <c r="M9" s="312"/>
      <c r="N9" s="97"/>
    </row>
    <row r="10" spans="1:14" s="2" customFormat="1" ht="15.6">
      <c r="A10" s="98" t="s">
        <v>11</v>
      </c>
      <c r="B10" s="98" t="s">
        <v>12</v>
      </c>
      <c r="C10" s="98" t="s">
        <v>13</v>
      </c>
      <c r="D10" s="98" t="s">
        <v>14</v>
      </c>
      <c r="E10" s="98" t="s">
        <v>15</v>
      </c>
      <c r="F10" s="98" t="s">
        <v>16</v>
      </c>
      <c r="G10" s="98" t="s">
        <v>17</v>
      </c>
      <c r="H10" s="98" t="s">
        <v>18</v>
      </c>
      <c r="I10" s="98" t="s">
        <v>19</v>
      </c>
      <c r="J10" s="98" t="s">
        <v>20</v>
      </c>
      <c r="K10" s="98" t="s">
        <v>21</v>
      </c>
      <c r="L10" s="98" t="s">
        <v>22</v>
      </c>
      <c r="M10" s="98" t="s">
        <v>23</v>
      </c>
      <c r="N10" s="98" t="s">
        <v>24</v>
      </c>
    </row>
    <row r="11" spans="1:14" s="2" customFormat="1" ht="15.75" customHeight="1">
      <c r="A11" s="52"/>
      <c r="B11" s="48"/>
      <c r="C11" s="48"/>
      <c r="D11" s="48"/>
      <c r="E11" s="48"/>
      <c r="F11" s="48"/>
      <c r="G11" s="48"/>
      <c r="H11" s="48"/>
      <c r="I11" s="48"/>
      <c r="J11" s="48"/>
      <c r="K11" s="48"/>
      <c r="L11" s="48"/>
      <c r="M11" s="48"/>
      <c r="N11" s="99" t="str">
        <f>IF(SUM(B11:M11)=0,"",IF(SUM(B11:M11)="","",SUM(B11:M11)))</f>
        <v/>
      </c>
    </row>
    <row r="12" spans="1:14" s="2" customFormat="1" ht="15.75" customHeight="1">
      <c r="A12" s="52"/>
      <c r="B12" s="48"/>
      <c r="C12" s="48"/>
      <c r="D12" s="48"/>
      <c r="E12" s="48"/>
      <c r="F12" s="48"/>
      <c r="G12" s="48"/>
      <c r="H12" s="48"/>
      <c r="I12" s="48"/>
      <c r="J12" s="48"/>
      <c r="K12" s="48"/>
      <c r="L12" s="48"/>
      <c r="M12" s="48"/>
      <c r="N12" s="99" t="str">
        <f t="shared" ref="N12:N17" si="0">IF(SUM(B12:M12)=0,"",IF(SUM(B12:M12)="","",SUM(B12:M12)))</f>
        <v/>
      </c>
    </row>
    <row r="13" spans="1:14" s="2" customFormat="1" ht="15.75" customHeight="1">
      <c r="A13" s="52"/>
      <c r="B13" s="48"/>
      <c r="C13" s="48"/>
      <c r="D13" s="48"/>
      <c r="E13" s="48"/>
      <c r="F13" s="48"/>
      <c r="G13" s="48"/>
      <c r="H13" s="48"/>
      <c r="I13" s="48"/>
      <c r="J13" s="48"/>
      <c r="K13" s="48"/>
      <c r="L13" s="48"/>
      <c r="M13" s="48"/>
      <c r="N13" s="99" t="str">
        <f t="shared" si="0"/>
        <v/>
      </c>
    </row>
    <row r="14" spans="1:14" s="2" customFormat="1" ht="15.75" customHeight="1">
      <c r="A14" s="52"/>
      <c r="B14" s="48"/>
      <c r="C14" s="48"/>
      <c r="D14" s="48"/>
      <c r="E14" s="48"/>
      <c r="F14" s="48"/>
      <c r="G14" s="48"/>
      <c r="H14" s="48"/>
      <c r="I14" s="48"/>
      <c r="J14" s="48"/>
      <c r="K14" s="48"/>
      <c r="L14" s="48"/>
      <c r="M14" s="48"/>
      <c r="N14" s="99" t="str">
        <f t="shared" si="0"/>
        <v/>
      </c>
    </row>
    <row r="15" spans="1:14" s="2" customFormat="1" ht="15.75" customHeight="1">
      <c r="A15" s="52"/>
      <c r="B15" s="48"/>
      <c r="C15" s="48"/>
      <c r="D15" s="48"/>
      <c r="E15" s="48"/>
      <c r="F15" s="48"/>
      <c r="G15" s="48"/>
      <c r="H15" s="48"/>
      <c r="I15" s="48"/>
      <c r="J15" s="48"/>
      <c r="K15" s="48"/>
      <c r="L15" s="48"/>
      <c r="M15" s="48"/>
      <c r="N15" s="99" t="str">
        <f t="shared" si="0"/>
        <v/>
      </c>
    </row>
    <row r="16" spans="1:14" s="2" customFormat="1" ht="15.6">
      <c r="A16" s="52"/>
      <c r="B16" s="48"/>
      <c r="C16" s="48"/>
      <c r="D16" s="48"/>
      <c r="E16" s="48"/>
      <c r="F16" s="48"/>
      <c r="G16" s="48"/>
      <c r="H16" s="48"/>
      <c r="I16" s="48"/>
      <c r="J16" s="48"/>
      <c r="K16" s="48"/>
      <c r="L16" s="48"/>
      <c r="M16" s="48"/>
      <c r="N16" s="99" t="str">
        <f t="shared" si="0"/>
        <v/>
      </c>
    </row>
    <row r="17" spans="1:14" s="2" customFormat="1" ht="15.6">
      <c r="A17" s="52"/>
      <c r="B17" s="48"/>
      <c r="C17" s="48"/>
      <c r="D17" s="48"/>
      <c r="E17" s="48"/>
      <c r="F17" s="48"/>
      <c r="G17" s="48"/>
      <c r="H17" s="48"/>
      <c r="I17" s="48"/>
      <c r="J17" s="48"/>
      <c r="K17" s="48"/>
      <c r="L17" s="48"/>
      <c r="M17" s="48"/>
      <c r="N17" s="99" t="str">
        <f t="shared" si="0"/>
        <v/>
      </c>
    </row>
    <row r="18" spans="1:14" s="2" customFormat="1" ht="15.6" customHeight="1">
      <c r="A18" s="315" t="s">
        <v>25</v>
      </c>
      <c r="B18" s="316"/>
      <c r="C18" s="316"/>
      <c r="D18" s="316"/>
      <c r="E18" s="316"/>
      <c r="F18" s="316"/>
      <c r="G18" s="316"/>
      <c r="H18" s="316"/>
      <c r="I18" s="316"/>
      <c r="J18" s="316"/>
      <c r="K18" s="316"/>
      <c r="L18" s="317" t="s">
        <v>26</v>
      </c>
      <c r="M18" s="318"/>
      <c r="N18" s="100">
        <f>IFERROR(AVERAGE(N11:N17),0)</f>
        <v>0</v>
      </c>
    </row>
    <row r="19" spans="1:14" s="4" customFormat="1" ht="18" customHeight="1">
      <c r="A19" s="101" t="s">
        <v>27</v>
      </c>
      <c r="B19" s="337" t="s">
        <v>28</v>
      </c>
      <c r="C19" s="337"/>
      <c r="D19" s="337"/>
      <c r="E19" s="337"/>
      <c r="F19" s="337"/>
      <c r="G19" s="337"/>
      <c r="H19" s="337"/>
      <c r="I19" s="337"/>
      <c r="J19" s="337"/>
      <c r="K19" s="337"/>
      <c r="L19" s="102"/>
      <c r="M19" s="102"/>
      <c r="N19" s="103"/>
    </row>
    <row r="20" spans="1:14" s="2" customFormat="1" ht="15.6" customHeight="1">
      <c r="A20" s="323" t="s">
        <v>29</v>
      </c>
      <c r="B20" s="323"/>
      <c r="C20" s="343"/>
      <c r="D20" s="344"/>
      <c r="E20" s="345"/>
      <c r="F20" s="313" t="s">
        <v>30</v>
      </c>
      <c r="G20" s="314"/>
      <c r="H20" s="314"/>
      <c r="I20" s="104" t="str">
        <f>IFERROR(IF(C20="","",VLOOKUP(C20,R37:S52,2,FALSE)),"")</f>
        <v/>
      </c>
      <c r="J20" s="339" t="str">
        <f>IFERROR(IF(C20="","",VLOOKUP(C20,R37:T53,3,FALSE)),"")</f>
        <v/>
      </c>
      <c r="K20" s="339"/>
      <c r="L20" s="340"/>
      <c r="M20" s="340"/>
      <c r="N20" s="340"/>
    </row>
    <row r="21" spans="1:14" s="2" customFormat="1" ht="15.6" customHeight="1">
      <c r="A21" s="323" t="s">
        <v>31</v>
      </c>
      <c r="B21" s="323"/>
      <c r="C21" s="323"/>
      <c r="D21" s="323"/>
      <c r="E21" s="323"/>
      <c r="F21" s="323"/>
      <c r="G21" s="323"/>
      <c r="H21" s="323"/>
      <c r="I21" s="323"/>
      <c r="J21" s="50"/>
      <c r="K21" s="320" t="s">
        <v>32</v>
      </c>
      <c r="L21" s="321"/>
      <c r="M21" s="50"/>
      <c r="N21" s="105"/>
    </row>
    <row r="22" spans="1:14" s="2" customFormat="1" ht="15" customHeight="1">
      <c r="A22" s="323" t="s">
        <v>33</v>
      </c>
      <c r="B22" s="323"/>
      <c r="C22" s="323"/>
      <c r="D22" s="323"/>
      <c r="E22" s="338"/>
      <c r="F22" s="338"/>
      <c r="G22" s="338"/>
      <c r="H22" s="341" t="s">
        <v>34</v>
      </c>
      <c r="I22" s="342"/>
      <c r="J22" s="342"/>
      <c r="K22" s="342"/>
      <c r="L22" s="106"/>
      <c r="M22" s="106"/>
      <c r="N22" s="105"/>
    </row>
    <row r="23" spans="1:14" s="2" customFormat="1" ht="4.7" customHeight="1">
      <c r="A23" s="107"/>
      <c r="B23" s="322"/>
      <c r="C23" s="322"/>
      <c r="D23" s="322"/>
      <c r="E23" s="322"/>
      <c r="F23" s="322"/>
      <c r="G23" s="322"/>
      <c r="H23" s="322"/>
      <c r="I23" s="322"/>
      <c r="J23" s="322"/>
      <c r="K23" s="322"/>
      <c r="L23" s="322"/>
      <c r="M23" s="322"/>
      <c r="N23" s="322"/>
    </row>
    <row r="24" spans="1:14" s="2" customFormat="1" ht="15.6">
      <c r="A24" s="98" t="s">
        <v>11</v>
      </c>
      <c r="B24" s="98" t="s">
        <v>12</v>
      </c>
      <c r="C24" s="98" t="s">
        <v>13</v>
      </c>
      <c r="D24" s="98" t="s">
        <v>14</v>
      </c>
      <c r="E24" s="98" t="s">
        <v>15</v>
      </c>
      <c r="F24" s="98" t="s">
        <v>16</v>
      </c>
      <c r="G24" s="98" t="s">
        <v>17</v>
      </c>
      <c r="H24" s="98" t="s">
        <v>18</v>
      </c>
      <c r="I24" s="98" t="s">
        <v>19</v>
      </c>
      <c r="J24" s="98" t="s">
        <v>20</v>
      </c>
      <c r="K24" s="98" t="s">
        <v>21</v>
      </c>
      <c r="L24" s="98" t="s">
        <v>22</v>
      </c>
      <c r="M24" s="98" t="s">
        <v>23</v>
      </c>
      <c r="N24" s="98" t="s">
        <v>24</v>
      </c>
    </row>
    <row r="25" spans="1:14" s="2" customFormat="1" ht="15.75" customHeight="1">
      <c r="A25" s="52"/>
      <c r="B25" s="49"/>
      <c r="C25" s="49"/>
      <c r="D25" s="49"/>
      <c r="E25" s="49"/>
      <c r="F25" s="49"/>
      <c r="G25" s="49"/>
      <c r="H25" s="49"/>
      <c r="I25" s="49"/>
      <c r="J25" s="49"/>
      <c r="K25" s="49"/>
      <c r="L25" s="49"/>
      <c r="M25" s="49"/>
      <c r="N25" s="108" t="str">
        <f>IF(SUM(B25:M25)=0,"",IF(SUM(B25:M25)="","",SUM(B25:M25)))</f>
        <v/>
      </c>
    </row>
    <row r="26" spans="1:14" s="2" customFormat="1" ht="15.75" customHeight="1">
      <c r="A26" s="52"/>
      <c r="B26" s="49"/>
      <c r="C26" s="49"/>
      <c r="D26" s="49"/>
      <c r="E26" s="49"/>
      <c r="F26" s="49"/>
      <c r="G26" s="49"/>
      <c r="H26" s="49"/>
      <c r="I26" s="49"/>
      <c r="J26" s="49"/>
      <c r="K26" s="49"/>
      <c r="L26" s="49"/>
      <c r="M26" s="49"/>
      <c r="N26" s="108" t="str">
        <f t="shared" ref="N26" si="1">IF(SUM(B26:M26)=0,"",IF(SUM(B26:M26)="","",SUM(B26:M26)))</f>
        <v/>
      </c>
    </row>
    <row r="27" spans="1:14" s="2" customFormat="1" ht="15.75" customHeight="1">
      <c r="A27" s="52"/>
      <c r="B27" s="49"/>
      <c r="C27" s="49"/>
      <c r="D27" s="49"/>
      <c r="E27" s="49"/>
      <c r="F27" s="49"/>
      <c r="G27" s="49"/>
      <c r="H27" s="49"/>
      <c r="I27" s="49"/>
      <c r="J27" s="49"/>
      <c r="K27" s="49"/>
      <c r="L27" s="49"/>
      <c r="M27" s="49"/>
      <c r="N27" s="108" t="str">
        <f t="shared" ref="N27" si="2">IF(SUM(B27:M27)=0,"",IF(SUM(B27:M27)="","",SUM(B27:M27)))</f>
        <v/>
      </c>
    </row>
    <row r="28" spans="1:14" s="2" customFormat="1" ht="15.75" customHeight="1">
      <c r="A28" s="52"/>
      <c r="B28" s="49"/>
      <c r="C28" s="49"/>
      <c r="D28" s="49"/>
      <c r="E28" s="49"/>
      <c r="F28" s="49"/>
      <c r="G28" s="49"/>
      <c r="H28" s="49"/>
      <c r="I28" s="49"/>
      <c r="J28" s="49"/>
      <c r="K28" s="49"/>
      <c r="L28" s="49"/>
      <c r="M28" s="49"/>
      <c r="N28" s="108" t="str">
        <f t="shared" ref="N28:N31" si="3">IF(SUM(B28:M28)=0,"",IF(SUM(B28:M28)="","",SUM(B28:M28)))</f>
        <v/>
      </c>
    </row>
    <row r="29" spans="1:14" s="2" customFormat="1" ht="15.75" customHeight="1">
      <c r="A29" s="52"/>
      <c r="B29" s="49"/>
      <c r="C29" s="49"/>
      <c r="D29" s="49"/>
      <c r="E29" s="49"/>
      <c r="F29" s="49"/>
      <c r="G29" s="49"/>
      <c r="H29" s="49"/>
      <c r="I29" s="49"/>
      <c r="J29" s="49"/>
      <c r="K29" s="49"/>
      <c r="L29" s="49"/>
      <c r="M29" s="49"/>
      <c r="N29" s="108" t="str">
        <f t="shared" si="3"/>
        <v/>
      </c>
    </row>
    <row r="30" spans="1:14" s="2" customFormat="1" ht="15.75" customHeight="1">
      <c r="A30" s="52"/>
      <c r="B30" s="49"/>
      <c r="C30" s="49"/>
      <c r="D30" s="49"/>
      <c r="E30" s="49"/>
      <c r="F30" s="49"/>
      <c r="G30" s="49"/>
      <c r="H30" s="49"/>
      <c r="I30" s="49"/>
      <c r="J30" s="49"/>
      <c r="K30" s="49"/>
      <c r="L30" s="49"/>
      <c r="M30" s="49"/>
      <c r="N30" s="108" t="str">
        <f t="shared" si="3"/>
        <v/>
      </c>
    </row>
    <row r="31" spans="1:14" s="2" customFormat="1" ht="15.75" customHeight="1">
      <c r="A31" s="52"/>
      <c r="B31" s="49"/>
      <c r="C31" s="49"/>
      <c r="D31" s="49"/>
      <c r="E31" s="49"/>
      <c r="F31" s="49"/>
      <c r="G31" s="49"/>
      <c r="H31" s="49"/>
      <c r="I31" s="49"/>
      <c r="J31" s="49"/>
      <c r="K31" s="49"/>
      <c r="L31" s="49"/>
      <c r="M31" s="49"/>
      <c r="N31" s="108" t="str">
        <f t="shared" si="3"/>
        <v/>
      </c>
    </row>
    <row r="32" spans="1:14" s="2" customFormat="1" ht="15.75" customHeight="1">
      <c r="A32" s="309" t="s">
        <v>35</v>
      </c>
      <c r="B32" s="310"/>
      <c r="C32" s="310"/>
      <c r="D32" s="310"/>
      <c r="E32" s="310"/>
      <c r="F32" s="310"/>
      <c r="G32" s="310"/>
      <c r="H32" s="310"/>
      <c r="I32" s="310"/>
      <c r="J32" s="310"/>
      <c r="K32" s="109"/>
      <c r="L32" s="307" t="s">
        <v>26</v>
      </c>
      <c r="M32" s="308"/>
      <c r="N32" s="110">
        <f>IFERROR(AVERAGE(N25:N31),0)</f>
        <v>0</v>
      </c>
    </row>
    <row r="33" spans="1:21" s="2" customFormat="1" ht="6.6" customHeight="1">
      <c r="A33" s="331"/>
      <c r="B33" s="331"/>
      <c r="C33" s="331"/>
      <c r="D33" s="331"/>
      <c r="E33" s="331"/>
      <c r="F33" s="331"/>
      <c r="G33" s="331"/>
      <c r="H33" s="331"/>
      <c r="I33" s="331"/>
      <c r="J33" s="331"/>
      <c r="K33" s="331"/>
      <c r="L33" s="331"/>
      <c r="M33" s="331"/>
      <c r="N33" s="331"/>
    </row>
    <row r="34" spans="1:21" s="3" customFormat="1" ht="14.45">
      <c r="A34" s="325" t="s">
        <v>36</v>
      </c>
      <c r="B34" s="325"/>
      <c r="C34" s="325"/>
      <c r="D34" s="325"/>
      <c r="E34" s="325"/>
      <c r="F34" s="111" t="str">
        <f>IF(E22="","",E22)</f>
        <v/>
      </c>
      <c r="G34" s="112" t="s">
        <v>37</v>
      </c>
      <c r="H34" s="113" t="str">
        <f>IF(E22="","",VLOOKUP(C20,R37:U53,4,FALSE))</f>
        <v/>
      </c>
      <c r="I34" s="53"/>
      <c r="J34" s="329"/>
      <c r="K34" s="330"/>
      <c r="L34" s="330"/>
      <c r="M34" s="330"/>
      <c r="N34" s="330"/>
      <c r="S34" s="5"/>
    </row>
    <row r="35" spans="1:21" s="4" customFormat="1">
      <c r="A35" s="114" t="s">
        <v>38</v>
      </c>
      <c r="B35" s="324" t="s">
        <v>39</v>
      </c>
      <c r="C35" s="324"/>
      <c r="D35" s="324"/>
      <c r="E35" s="324"/>
      <c r="F35" s="324"/>
      <c r="G35" s="324"/>
      <c r="H35" s="324"/>
      <c r="I35" s="115"/>
      <c r="J35" s="115"/>
      <c r="K35" s="115"/>
      <c r="L35" s="115"/>
      <c r="M35" s="115"/>
      <c r="N35" s="115"/>
    </row>
    <row r="36" spans="1:21" s="2" customFormat="1" ht="15.6">
      <c r="A36" s="98" t="s">
        <v>11</v>
      </c>
      <c r="B36" s="98" t="s">
        <v>12</v>
      </c>
      <c r="C36" s="98" t="s">
        <v>13</v>
      </c>
      <c r="D36" s="98" t="s">
        <v>14</v>
      </c>
      <c r="E36" s="98" t="s">
        <v>15</v>
      </c>
      <c r="F36" s="98" t="s">
        <v>16</v>
      </c>
      <c r="G36" s="98" t="s">
        <v>17</v>
      </c>
      <c r="H36" s="98" t="s">
        <v>18</v>
      </c>
      <c r="I36" s="98" t="s">
        <v>19</v>
      </c>
      <c r="J36" s="98" t="s">
        <v>20</v>
      </c>
      <c r="K36" s="98" t="s">
        <v>21</v>
      </c>
      <c r="L36" s="98" t="s">
        <v>22</v>
      </c>
      <c r="M36" s="98" t="s">
        <v>23</v>
      </c>
      <c r="N36" s="98" t="s">
        <v>24</v>
      </c>
      <c r="R36" s="1" t="s">
        <v>40</v>
      </c>
      <c r="S36" s="1" t="s">
        <v>41</v>
      </c>
      <c r="T36" s="1"/>
    </row>
    <row r="37" spans="1:21" s="2" customFormat="1" ht="15.75" customHeight="1">
      <c r="A37" s="52"/>
      <c r="B37" s="85" t="str">
        <f t="shared" ref="B37:B43" si="4">IF(B25="","",IF($M$21&gt;0,B25*$M$21,IF($I$34="",B25*$I$20*$J$21/1000,IF($I$34=0,B25*$I$20*$J$21/1000,B25*$I$20*$J$21*$I$34/1000))))</f>
        <v/>
      </c>
      <c r="C37" s="85" t="str">
        <f t="shared" ref="C37:M37" si="5">IF(C25="","",IF($M$21&gt;0,C25*$M$21,IF($I$34="",C25*$I$20*$J$21/1000,IF($I$34=0,C25*$I$20*$J$21/1000,C25*$I$20*$J$21*$I$34/1000))))</f>
        <v/>
      </c>
      <c r="D37" s="85" t="str">
        <f t="shared" si="5"/>
        <v/>
      </c>
      <c r="E37" s="85" t="str">
        <f t="shared" si="5"/>
        <v/>
      </c>
      <c r="F37" s="85" t="str">
        <f t="shared" si="5"/>
        <v/>
      </c>
      <c r="G37" s="85" t="str">
        <f t="shared" si="5"/>
        <v/>
      </c>
      <c r="H37" s="85" t="str">
        <f t="shared" si="5"/>
        <v/>
      </c>
      <c r="I37" s="85" t="str">
        <f t="shared" si="5"/>
        <v/>
      </c>
      <c r="J37" s="85" t="str">
        <f t="shared" si="5"/>
        <v/>
      </c>
      <c r="K37" s="85" t="str">
        <f t="shared" si="5"/>
        <v/>
      </c>
      <c r="L37" s="85" t="str">
        <f t="shared" si="5"/>
        <v/>
      </c>
      <c r="M37" s="85" t="str">
        <f t="shared" si="5"/>
        <v/>
      </c>
      <c r="N37" s="99" t="str">
        <f>IF(SUM(B37:M37)=0,"",IF(SUM(B37:M37)="","",SUM(B37:M37)))</f>
        <v/>
      </c>
      <c r="R37" s="1" t="s">
        <v>42</v>
      </c>
      <c r="S37" s="1">
        <v>11.8</v>
      </c>
      <c r="T37" s="1" t="s">
        <v>43</v>
      </c>
      <c r="U37" s="2" t="s">
        <v>44</v>
      </c>
    </row>
    <row r="38" spans="1:21" s="2" customFormat="1" ht="15.75" customHeight="1">
      <c r="A38" s="52"/>
      <c r="B38" s="85" t="str">
        <f t="shared" si="4"/>
        <v/>
      </c>
      <c r="C38" s="85" t="str">
        <f t="shared" ref="C38:M38" si="6">IF(C26="","",IF($M$21&gt;0,C26*$M$21,IF($I$34="",C26*$I$20*$J$21/1000,IF($I$34=0,C26*$I$20*$J$21/1000,C26*$I$20*$J$21*$I$34/1000))))</f>
        <v/>
      </c>
      <c r="D38" s="85" t="str">
        <f t="shared" si="6"/>
        <v/>
      </c>
      <c r="E38" s="85" t="str">
        <f t="shared" si="6"/>
        <v/>
      </c>
      <c r="F38" s="85" t="str">
        <f t="shared" si="6"/>
        <v/>
      </c>
      <c r="G38" s="85" t="str">
        <f t="shared" si="6"/>
        <v/>
      </c>
      <c r="H38" s="85" t="str">
        <f t="shared" si="6"/>
        <v/>
      </c>
      <c r="I38" s="85" t="str">
        <f t="shared" si="6"/>
        <v/>
      </c>
      <c r="J38" s="85" t="str">
        <f t="shared" si="6"/>
        <v/>
      </c>
      <c r="K38" s="85" t="str">
        <f t="shared" si="6"/>
        <v/>
      </c>
      <c r="L38" s="85" t="str">
        <f t="shared" si="6"/>
        <v/>
      </c>
      <c r="M38" s="85" t="str">
        <f t="shared" si="6"/>
        <v/>
      </c>
      <c r="N38" s="99" t="str">
        <f t="shared" ref="N38" si="7">IF(SUM(B38:M38)=0,"",IF(SUM(B38:M38)="","",SUM(B38:M38)))</f>
        <v/>
      </c>
      <c r="R38" s="1" t="s">
        <v>45</v>
      </c>
      <c r="S38" s="1">
        <v>11.28</v>
      </c>
      <c r="T38" s="1" t="s">
        <v>43</v>
      </c>
      <c r="U38" s="2" t="s">
        <v>44</v>
      </c>
    </row>
    <row r="39" spans="1:21" s="2" customFormat="1" ht="15.75" customHeight="1">
      <c r="A39" s="52"/>
      <c r="B39" s="85" t="str">
        <f t="shared" si="4"/>
        <v/>
      </c>
      <c r="C39" s="85" t="str">
        <f t="shared" ref="C39:M39" si="8">IF(C27="","",IF($M$21&gt;0,C27*$M$21,IF($I$34="",C27*$I$20*$J$21/1000,IF($I$34=0,C27*$I$20*$J$21/1000,C27*$I$20*$J$21*$I$34/1000))))</f>
        <v/>
      </c>
      <c r="D39" s="85" t="str">
        <f t="shared" si="8"/>
        <v/>
      </c>
      <c r="E39" s="85" t="str">
        <f t="shared" si="8"/>
        <v/>
      </c>
      <c r="F39" s="85" t="str">
        <f t="shared" si="8"/>
        <v/>
      </c>
      <c r="G39" s="85" t="str">
        <f t="shared" si="8"/>
        <v/>
      </c>
      <c r="H39" s="85" t="str">
        <f t="shared" si="8"/>
        <v/>
      </c>
      <c r="I39" s="85" t="str">
        <f t="shared" si="8"/>
        <v/>
      </c>
      <c r="J39" s="85" t="str">
        <f t="shared" si="8"/>
        <v/>
      </c>
      <c r="K39" s="85" t="str">
        <f t="shared" si="8"/>
        <v/>
      </c>
      <c r="L39" s="85" t="str">
        <f t="shared" si="8"/>
        <v/>
      </c>
      <c r="M39" s="85" t="str">
        <f t="shared" si="8"/>
        <v/>
      </c>
      <c r="N39" s="99" t="str">
        <f t="shared" ref="N39" si="9">IF(SUM(B39:M39)=0,"",IF(SUM(B39:M39)="","",SUM(B39:M39)))</f>
        <v/>
      </c>
      <c r="R39" s="1" t="s">
        <v>45</v>
      </c>
      <c r="S39" s="1">
        <v>11.28</v>
      </c>
      <c r="T39" s="1" t="s">
        <v>43</v>
      </c>
      <c r="U39" s="2" t="s">
        <v>44</v>
      </c>
    </row>
    <row r="40" spans="1:21" s="2" customFormat="1" ht="15.75" customHeight="1">
      <c r="A40" s="52"/>
      <c r="B40" s="85" t="str">
        <f t="shared" si="4"/>
        <v/>
      </c>
      <c r="C40" s="85" t="str">
        <f t="shared" ref="C40:M40" si="10">IF(C28="","",IF($M$21&gt;0,C28*$M$21,IF($I$34="",C28*$I$20*$J$21/1000,IF($I$34=0,C28*$I$20*$J$21/1000,C28*$I$20*$J$21*$I$34/1000))))</f>
        <v/>
      </c>
      <c r="D40" s="85" t="str">
        <f t="shared" si="10"/>
        <v/>
      </c>
      <c r="E40" s="85" t="str">
        <f t="shared" si="10"/>
        <v/>
      </c>
      <c r="F40" s="85" t="str">
        <f t="shared" si="10"/>
        <v/>
      </c>
      <c r="G40" s="85" t="str">
        <f t="shared" si="10"/>
        <v/>
      </c>
      <c r="H40" s="85" t="str">
        <f t="shared" si="10"/>
        <v/>
      </c>
      <c r="I40" s="85" t="str">
        <f t="shared" si="10"/>
        <v/>
      </c>
      <c r="J40" s="85" t="str">
        <f t="shared" si="10"/>
        <v/>
      </c>
      <c r="K40" s="85" t="str">
        <f t="shared" si="10"/>
        <v/>
      </c>
      <c r="L40" s="85" t="str">
        <f t="shared" si="10"/>
        <v/>
      </c>
      <c r="M40" s="85" t="str">
        <f t="shared" si="10"/>
        <v/>
      </c>
      <c r="N40" s="99" t="str">
        <f t="shared" ref="N40:N43" si="11">IF(SUM(B40:M40)=0,"",IF(SUM(B40:M40)="","",SUM(B40:M40)))</f>
        <v/>
      </c>
      <c r="R40" s="1" t="s">
        <v>45</v>
      </c>
      <c r="S40" s="1">
        <v>11.28</v>
      </c>
      <c r="T40" s="1" t="s">
        <v>43</v>
      </c>
      <c r="U40" s="2" t="s">
        <v>44</v>
      </c>
    </row>
    <row r="41" spans="1:21" s="2" customFormat="1" ht="15.75" customHeight="1">
      <c r="A41" s="52"/>
      <c r="B41" s="85" t="str">
        <f t="shared" si="4"/>
        <v/>
      </c>
      <c r="C41" s="85" t="str">
        <f t="shared" ref="C41:M41" si="12">IF(C29="","",IF($M$21&gt;0,C29*$M$21,IF($I$34="",C29*$I$20*$J$21/1000,IF($I$34=0,C29*$I$20*$J$21/1000,C29*$I$20*$J$21*$I$34/1000))))</f>
        <v/>
      </c>
      <c r="D41" s="85" t="str">
        <f t="shared" si="12"/>
        <v/>
      </c>
      <c r="E41" s="85" t="str">
        <f t="shared" si="12"/>
        <v/>
      </c>
      <c r="F41" s="85" t="str">
        <f t="shared" si="12"/>
        <v/>
      </c>
      <c r="G41" s="85" t="str">
        <f t="shared" si="12"/>
        <v/>
      </c>
      <c r="H41" s="85" t="str">
        <f t="shared" si="12"/>
        <v/>
      </c>
      <c r="I41" s="85" t="str">
        <f t="shared" si="12"/>
        <v/>
      </c>
      <c r="J41" s="85" t="str">
        <f t="shared" si="12"/>
        <v/>
      </c>
      <c r="K41" s="85" t="str">
        <f t="shared" si="12"/>
        <v/>
      </c>
      <c r="L41" s="85" t="str">
        <f t="shared" si="12"/>
        <v/>
      </c>
      <c r="M41" s="85" t="str">
        <f t="shared" si="12"/>
        <v/>
      </c>
      <c r="N41" s="99" t="str">
        <f t="shared" si="11"/>
        <v/>
      </c>
      <c r="R41" s="1" t="s">
        <v>46</v>
      </c>
      <c r="S41" s="1">
        <v>12.65</v>
      </c>
      <c r="T41" s="1" t="s">
        <v>43</v>
      </c>
      <c r="U41" s="2" t="s">
        <v>44</v>
      </c>
    </row>
    <row r="42" spans="1:21" s="2" customFormat="1" ht="15.75" customHeight="1">
      <c r="A42" s="52"/>
      <c r="B42" s="85" t="str">
        <f t="shared" si="4"/>
        <v/>
      </c>
      <c r="C42" s="85" t="str">
        <f t="shared" ref="C42:M42" si="13">IF(C30="","",IF($M$21&gt;0,C30*$M$21,IF($I$34="",C30*$I$20*$J$21/1000,IF($I$34=0,C30*$I$20*$J$21/1000,C30*$I$20*$J$21*$I$34/1000))))</f>
        <v/>
      </c>
      <c r="D42" s="85" t="str">
        <f t="shared" si="13"/>
        <v/>
      </c>
      <c r="E42" s="85" t="str">
        <f t="shared" si="13"/>
        <v/>
      </c>
      <c r="F42" s="85" t="str">
        <f t="shared" si="13"/>
        <v/>
      </c>
      <c r="G42" s="85" t="str">
        <f t="shared" si="13"/>
        <v/>
      </c>
      <c r="H42" s="85" t="str">
        <f t="shared" si="13"/>
        <v/>
      </c>
      <c r="I42" s="85" t="str">
        <f t="shared" si="13"/>
        <v/>
      </c>
      <c r="J42" s="85" t="str">
        <f t="shared" si="13"/>
        <v/>
      </c>
      <c r="K42" s="85" t="str">
        <f t="shared" si="13"/>
        <v/>
      </c>
      <c r="L42" s="85" t="str">
        <f t="shared" si="13"/>
        <v/>
      </c>
      <c r="M42" s="85" t="str">
        <f t="shared" si="13"/>
        <v/>
      </c>
      <c r="N42" s="99" t="str">
        <f t="shared" si="11"/>
        <v/>
      </c>
      <c r="R42" s="1" t="s">
        <v>47</v>
      </c>
      <c r="S42" s="1">
        <v>9.16</v>
      </c>
      <c r="T42" s="1" t="s">
        <v>43</v>
      </c>
      <c r="U42" s="2" t="s">
        <v>44</v>
      </c>
    </row>
    <row r="43" spans="1:21" s="2" customFormat="1" ht="15.75" customHeight="1">
      <c r="A43" s="52"/>
      <c r="B43" s="85" t="str">
        <f t="shared" si="4"/>
        <v/>
      </c>
      <c r="C43" s="85" t="str">
        <f t="shared" ref="C43:M43" si="14">IF(C31="","",IF($M$21&gt;0,C31*$M$21,IF($I$34="",C31*$I$20*$J$21/1000,IF($I$34=0,C31*$I$20*$J$21/1000,C31*$I$20*$J$21*$I$34/1000))))</f>
        <v/>
      </c>
      <c r="D43" s="85" t="str">
        <f t="shared" si="14"/>
        <v/>
      </c>
      <c r="E43" s="85" t="str">
        <f t="shared" si="14"/>
        <v/>
      </c>
      <c r="F43" s="85" t="str">
        <f t="shared" si="14"/>
        <v/>
      </c>
      <c r="G43" s="85" t="str">
        <f t="shared" si="14"/>
        <v/>
      </c>
      <c r="H43" s="85" t="str">
        <f t="shared" si="14"/>
        <v/>
      </c>
      <c r="I43" s="85" t="str">
        <f t="shared" si="14"/>
        <v/>
      </c>
      <c r="J43" s="85" t="str">
        <f t="shared" si="14"/>
        <v/>
      </c>
      <c r="K43" s="85" t="str">
        <f t="shared" si="14"/>
        <v/>
      </c>
      <c r="L43" s="85" t="str">
        <f t="shared" si="14"/>
        <v/>
      </c>
      <c r="M43" s="85" t="str">
        <f t="shared" si="14"/>
        <v/>
      </c>
      <c r="N43" s="99" t="str">
        <f t="shared" si="11"/>
        <v/>
      </c>
      <c r="R43" s="1" t="s">
        <v>48</v>
      </c>
      <c r="S43" s="1">
        <v>6.7</v>
      </c>
      <c r="T43" s="1" t="s">
        <v>43</v>
      </c>
      <c r="U43" s="2" t="s">
        <v>44</v>
      </c>
    </row>
    <row r="44" spans="1:21" s="2" customFormat="1" ht="15.6">
      <c r="A44" s="328" t="s">
        <v>26</v>
      </c>
      <c r="B44" s="307"/>
      <c r="C44" s="307"/>
      <c r="D44" s="307"/>
      <c r="E44" s="307"/>
      <c r="F44" s="307"/>
      <c r="G44" s="307"/>
      <c r="H44" s="307"/>
      <c r="I44" s="307"/>
      <c r="J44" s="307"/>
      <c r="K44" s="307"/>
      <c r="L44" s="307"/>
      <c r="M44" s="308"/>
      <c r="N44" s="116">
        <f>SUM(N37:N43)</f>
        <v>0</v>
      </c>
      <c r="R44" s="1" t="s">
        <v>49</v>
      </c>
      <c r="S44" s="1">
        <v>2.79</v>
      </c>
      <c r="T44" s="1" t="s">
        <v>43</v>
      </c>
      <c r="U44" s="2" t="s">
        <v>44</v>
      </c>
    </row>
    <row r="45" spans="1:21" s="3" customFormat="1" ht="18.600000000000001" customHeight="1">
      <c r="A45" s="117" t="s">
        <v>50</v>
      </c>
      <c r="B45" s="324" t="s">
        <v>51</v>
      </c>
      <c r="C45" s="324"/>
      <c r="D45" s="324"/>
      <c r="E45" s="324"/>
      <c r="F45" s="324"/>
      <c r="G45" s="324"/>
      <c r="H45" s="324"/>
      <c r="I45" s="324"/>
      <c r="J45" s="324"/>
      <c r="K45" s="324"/>
      <c r="L45" s="118"/>
      <c r="M45" s="118"/>
      <c r="N45" s="118"/>
      <c r="R45" s="1" t="s">
        <v>52</v>
      </c>
      <c r="S45" s="1">
        <v>2140</v>
      </c>
      <c r="T45" s="1" t="s">
        <v>53</v>
      </c>
      <c r="U45" s="3" t="s">
        <v>54</v>
      </c>
    </row>
    <row r="46" spans="1:21" s="2" customFormat="1" ht="15.6">
      <c r="A46" s="98" t="s">
        <v>11</v>
      </c>
      <c r="B46" s="98" t="s">
        <v>12</v>
      </c>
      <c r="C46" s="98" t="s">
        <v>13</v>
      </c>
      <c r="D46" s="98" t="s">
        <v>14</v>
      </c>
      <c r="E46" s="98" t="s">
        <v>15</v>
      </c>
      <c r="F46" s="98" t="s">
        <v>16</v>
      </c>
      <c r="G46" s="98" t="s">
        <v>17</v>
      </c>
      <c r="H46" s="98" t="s">
        <v>18</v>
      </c>
      <c r="I46" s="98" t="s">
        <v>19</v>
      </c>
      <c r="J46" s="98" t="s">
        <v>20</v>
      </c>
      <c r="K46" s="98" t="s">
        <v>21</v>
      </c>
      <c r="L46" s="98" t="s">
        <v>22</v>
      </c>
      <c r="M46" s="98" t="s">
        <v>23</v>
      </c>
      <c r="N46" s="98" t="s">
        <v>24</v>
      </c>
      <c r="R46" s="1" t="s">
        <v>55</v>
      </c>
      <c r="S46" s="1">
        <v>750</v>
      </c>
      <c r="T46" s="1" t="s">
        <v>56</v>
      </c>
      <c r="U46" s="2" t="s">
        <v>57</v>
      </c>
    </row>
    <row r="47" spans="1:21" s="2" customFormat="1" ht="15.75" customHeight="1">
      <c r="A47" s="52"/>
      <c r="B47" s="48"/>
      <c r="C47" s="48"/>
      <c r="D47" s="48"/>
      <c r="E47" s="48"/>
      <c r="F47" s="48"/>
      <c r="G47" s="48"/>
      <c r="H47" s="48"/>
      <c r="I47" s="48"/>
      <c r="J47" s="48"/>
      <c r="K47" s="48"/>
      <c r="L47" s="48"/>
      <c r="M47" s="48"/>
      <c r="N47" s="99" t="str">
        <f>IF(SUM(B47:M47)=0,"",IF(SUM(B47:M47)="","",SUM(B47:M47)))</f>
        <v/>
      </c>
      <c r="R47" s="1" t="s">
        <v>58</v>
      </c>
      <c r="S47" s="1">
        <v>910</v>
      </c>
      <c r="T47" s="1" t="s">
        <v>56</v>
      </c>
      <c r="U47" s="2" t="s">
        <v>57</v>
      </c>
    </row>
    <row r="48" spans="1:21" s="2" customFormat="1" ht="15.75" customHeight="1">
      <c r="A48" s="52"/>
      <c r="B48" s="48"/>
      <c r="C48" s="48"/>
      <c r="D48" s="48"/>
      <c r="E48" s="48"/>
      <c r="F48" s="48"/>
      <c r="G48" s="48"/>
      <c r="H48" s="48"/>
      <c r="I48" s="48"/>
      <c r="J48" s="48"/>
      <c r="K48" s="48"/>
      <c r="L48" s="48"/>
      <c r="M48" s="48"/>
      <c r="N48" s="99" t="str">
        <f t="shared" ref="N48:N51" si="15">IF(SUM(B48:M48)=0,"",IF(SUM(B48:M48)="","",SUM(B48:M48)))</f>
        <v/>
      </c>
      <c r="R48" s="1" t="s">
        <v>59</v>
      </c>
      <c r="S48" s="1">
        <v>4.66</v>
      </c>
      <c r="T48" s="1" t="s">
        <v>43</v>
      </c>
      <c r="U48" s="2" t="s">
        <v>44</v>
      </c>
    </row>
    <row r="49" spans="1:21" s="2" customFormat="1" ht="15.75" customHeight="1">
      <c r="A49" s="52"/>
      <c r="B49" s="48"/>
      <c r="C49" s="48"/>
      <c r="D49" s="48"/>
      <c r="E49" s="48"/>
      <c r="F49" s="48"/>
      <c r="G49" s="48"/>
      <c r="H49" s="48"/>
      <c r="I49" s="48"/>
      <c r="J49" s="48"/>
      <c r="K49" s="48"/>
      <c r="L49" s="48"/>
      <c r="M49" s="48"/>
      <c r="N49" s="99" t="str">
        <f t="shared" si="15"/>
        <v/>
      </c>
      <c r="R49" s="1" t="s">
        <v>60</v>
      </c>
      <c r="S49" s="1">
        <v>4.87</v>
      </c>
      <c r="T49" s="1" t="s">
        <v>43</v>
      </c>
      <c r="U49" s="2" t="s">
        <v>44</v>
      </c>
    </row>
    <row r="50" spans="1:21" s="2" customFormat="1" ht="15.75" customHeight="1">
      <c r="A50" s="52"/>
      <c r="B50" s="48"/>
      <c r="C50" s="48"/>
      <c r="D50" s="48"/>
      <c r="E50" s="48"/>
      <c r="F50" s="48"/>
      <c r="G50" s="48"/>
      <c r="H50" s="48"/>
      <c r="I50" s="48"/>
      <c r="J50" s="48"/>
      <c r="K50" s="48"/>
      <c r="L50" s="48"/>
      <c r="M50" s="48"/>
      <c r="N50" s="99" t="str">
        <f t="shared" si="15"/>
        <v/>
      </c>
      <c r="R50" s="1" t="s">
        <v>61</v>
      </c>
      <c r="S50" s="1">
        <v>9.5</v>
      </c>
      <c r="T50" s="1" t="s">
        <v>62</v>
      </c>
      <c r="U50" s="2" t="s">
        <v>63</v>
      </c>
    </row>
    <row r="51" spans="1:21" s="2" customFormat="1" ht="15.75" customHeight="1">
      <c r="A51" s="52"/>
      <c r="B51" s="48"/>
      <c r="C51" s="48"/>
      <c r="D51" s="48"/>
      <c r="E51" s="48"/>
      <c r="F51" s="48"/>
      <c r="G51" s="48"/>
      <c r="H51" s="48"/>
      <c r="I51" s="48"/>
      <c r="J51" s="48"/>
      <c r="K51" s="48"/>
      <c r="L51" s="48"/>
      <c r="M51" s="48"/>
      <c r="N51" s="99" t="str">
        <f t="shared" si="15"/>
        <v/>
      </c>
      <c r="R51" s="1" t="s">
        <v>64</v>
      </c>
      <c r="S51" s="1">
        <v>10.33</v>
      </c>
      <c r="T51" s="1" t="s">
        <v>43</v>
      </c>
      <c r="U51" s="2" t="s">
        <v>44</v>
      </c>
    </row>
    <row r="52" spans="1:21" s="2" customFormat="1" ht="15.75" customHeight="1">
      <c r="A52" s="315" t="s">
        <v>65</v>
      </c>
      <c r="B52" s="316"/>
      <c r="C52" s="316"/>
      <c r="D52" s="316"/>
      <c r="E52" s="316"/>
      <c r="F52" s="316"/>
      <c r="G52" s="316"/>
      <c r="H52" s="316"/>
      <c r="I52" s="316"/>
      <c r="J52" s="316"/>
      <c r="K52" s="316"/>
      <c r="L52" s="307" t="s">
        <v>26</v>
      </c>
      <c r="M52" s="308"/>
      <c r="N52" s="116">
        <f>IFERROR(AVERAGE(N47:N51),0)</f>
        <v>0</v>
      </c>
      <c r="R52" s="1" t="s">
        <v>66</v>
      </c>
      <c r="S52" s="1">
        <v>7.44</v>
      </c>
      <c r="T52" s="1" t="s">
        <v>43</v>
      </c>
      <c r="U52" s="2" t="s">
        <v>44</v>
      </c>
    </row>
    <row r="53" spans="1:21" s="3" customFormat="1" ht="21.6" customHeight="1">
      <c r="A53" s="117" t="s">
        <v>67</v>
      </c>
      <c r="B53" s="326" t="s">
        <v>68</v>
      </c>
      <c r="C53" s="326"/>
      <c r="D53" s="326"/>
      <c r="E53" s="326"/>
      <c r="F53" s="326"/>
      <c r="G53" s="326"/>
      <c r="H53" s="326"/>
      <c r="I53" s="326"/>
      <c r="J53" s="326"/>
      <c r="K53" s="326"/>
      <c r="L53" s="118"/>
      <c r="M53" s="118"/>
      <c r="N53" s="118"/>
      <c r="R53" s="1" t="s">
        <v>69</v>
      </c>
      <c r="S53" s="1"/>
      <c r="T53" s="1"/>
    </row>
    <row r="54" spans="1:21" s="4" customFormat="1">
      <c r="A54" s="327"/>
      <c r="B54" s="327"/>
      <c r="C54" s="327"/>
      <c r="D54" s="119" t="s">
        <v>70</v>
      </c>
      <c r="E54" s="119"/>
      <c r="F54" s="119"/>
      <c r="G54" s="119"/>
      <c r="H54" s="119"/>
      <c r="I54" s="119"/>
      <c r="J54" s="119"/>
      <c r="K54" s="119"/>
      <c r="L54" s="119"/>
      <c r="M54" s="119"/>
      <c r="N54" s="119"/>
      <c r="R54" s="4" t="s">
        <v>71</v>
      </c>
    </row>
    <row r="55" spans="1:21" s="3" customFormat="1" ht="8.4499999999999993" customHeight="1">
      <c r="A55" s="120"/>
      <c r="B55" s="120"/>
      <c r="C55" s="120"/>
      <c r="D55" s="120"/>
      <c r="E55" s="120"/>
      <c r="F55" s="120"/>
      <c r="G55" s="120"/>
      <c r="H55" s="120"/>
      <c r="I55" s="120"/>
      <c r="J55" s="120"/>
      <c r="K55" s="120"/>
      <c r="L55" s="120"/>
      <c r="M55" s="120"/>
      <c r="N55" s="120"/>
    </row>
    <row r="56" spans="1:21" s="2" customFormat="1" ht="15.6">
      <c r="A56" s="121" t="s">
        <v>11</v>
      </c>
      <c r="B56" s="121" t="s">
        <v>12</v>
      </c>
      <c r="C56" s="121" t="s">
        <v>13</v>
      </c>
      <c r="D56" s="121" t="s">
        <v>14</v>
      </c>
      <c r="E56" s="121" t="s">
        <v>15</v>
      </c>
      <c r="F56" s="121" t="s">
        <v>16</v>
      </c>
      <c r="G56" s="121" t="s">
        <v>17</v>
      </c>
      <c r="H56" s="121" t="s">
        <v>18</v>
      </c>
      <c r="I56" s="121" t="s">
        <v>19</v>
      </c>
      <c r="J56" s="121" t="s">
        <v>20</v>
      </c>
      <c r="K56" s="121" t="s">
        <v>21</v>
      </c>
      <c r="L56" s="121" t="s">
        <v>22</v>
      </c>
      <c r="M56" s="121" t="s">
        <v>23</v>
      </c>
      <c r="N56" s="121" t="s">
        <v>24</v>
      </c>
    </row>
    <row r="57" spans="1:21" s="2" customFormat="1" ht="15.75" customHeight="1">
      <c r="A57" s="52"/>
      <c r="B57" s="48"/>
      <c r="C57" s="48"/>
      <c r="D57" s="48"/>
      <c r="E57" s="48"/>
      <c r="F57" s="48"/>
      <c r="G57" s="48"/>
      <c r="H57" s="48"/>
      <c r="I57" s="48"/>
      <c r="J57" s="48"/>
      <c r="K57" s="48"/>
      <c r="L57" s="48"/>
      <c r="M57" s="48"/>
      <c r="N57" s="122" t="str">
        <f>IF(SUM(B57:M57)=0,"",IF(SUM(B57:M57)="","",SUM(B57:M57)))</f>
        <v/>
      </c>
    </row>
    <row r="58" spans="1:21" s="2" customFormat="1" ht="15.75" customHeight="1">
      <c r="A58" s="52"/>
      <c r="B58" s="48"/>
      <c r="C58" s="48"/>
      <c r="D58" s="48"/>
      <c r="E58" s="48"/>
      <c r="F58" s="48"/>
      <c r="G58" s="48"/>
      <c r="H58" s="48"/>
      <c r="I58" s="48"/>
      <c r="J58" s="48"/>
      <c r="K58" s="48"/>
      <c r="L58" s="48"/>
      <c r="M58" s="48"/>
      <c r="N58" s="122" t="str">
        <f t="shared" ref="N58:N61" si="16">IF(SUM(B58:M58)=0,"",IF(SUM(B58:M58)="","",SUM(B58:M58)))</f>
        <v/>
      </c>
    </row>
    <row r="59" spans="1:21" s="2" customFormat="1" ht="15.75" customHeight="1">
      <c r="A59" s="52"/>
      <c r="B59" s="48"/>
      <c r="C59" s="48"/>
      <c r="D59" s="48"/>
      <c r="E59" s="48"/>
      <c r="F59" s="48"/>
      <c r="G59" s="48"/>
      <c r="H59" s="48"/>
      <c r="I59" s="48"/>
      <c r="J59" s="48"/>
      <c r="K59" s="48"/>
      <c r="L59" s="48"/>
      <c r="M59" s="48"/>
      <c r="N59" s="122" t="str">
        <f t="shared" si="16"/>
        <v/>
      </c>
    </row>
    <row r="60" spans="1:21" s="2" customFormat="1" ht="15.75" customHeight="1">
      <c r="A60" s="52"/>
      <c r="B60" s="48"/>
      <c r="C60" s="48"/>
      <c r="D60" s="48"/>
      <c r="E60" s="48"/>
      <c r="F60" s="48"/>
      <c r="G60" s="48"/>
      <c r="H60" s="48"/>
      <c r="I60" s="48"/>
      <c r="J60" s="48"/>
      <c r="K60" s="48"/>
      <c r="L60" s="48"/>
      <c r="M60" s="48"/>
      <c r="N60" s="122" t="str">
        <f t="shared" si="16"/>
        <v/>
      </c>
    </row>
    <row r="61" spans="1:21" s="2" customFormat="1" ht="15.75" customHeight="1">
      <c r="A61" s="52"/>
      <c r="B61" s="48"/>
      <c r="C61" s="48"/>
      <c r="D61" s="48"/>
      <c r="E61" s="48"/>
      <c r="F61" s="48"/>
      <c r="G61" s="48"/>
      <c r="H61" s="48"/>
      <c r="I61" s="48"/>
      <c r="J61" s="48"/>
      <c r="K61" s="48"/>
      <c r="L61" s="48"/>
      <c r="M61" s="48"/>
      <c r="N61" s="122" t="str">
        <f t="shared" si="16"/>
        <v/>
      </c>
    </row>
    <row r="62" spans="1:21" s="2" customFormat="1" ht="15.75" customHeight="1">
      <c r="A62" s="123"/>
      <c r="B62" s="124"/>
      <c r="C62" s="124"/>
      <c r="D62" s="124"/>
      <c r="E62" s="124"/>
      <c r="F62" s="124"/>
      <c r="G62" s="124"/>
      <c r="H62" s="124"/>
      <c r="I62" s="124"/>
      <c r="J62" s="124"/>
      <c r="K62" s="124"/>
      <c r="L62" s="305" t="s">
        <v>26</v>
      </c>
      <c r="M62" s="306"/>
      <c r="N62" s="116">
        <f>SUM(N57:N61)</f>
        <v>0</v>
      </c>
    </row>
    <row r="63" spans="1:21" s="3" customFormat="1" ht="19.7" customHeight="1">
      <c r="A63" s="117" t="s">
        <v>72</v>
      </c>
      <c r="B63" s="326" t="s">
        <v>73</v>
      </c>
      <c r="C63" s="326"/>
      <c r="D63" s="326"/>
      <c r="E63" s="326"/>
      <c r="F63" s="326"/>
      <c r="G63" s="326"/>
      <c r="H63" s="326"/>
      <c r="I63" s="326"/>
      <c r="J63" s="326"/>
      <c r="K63" s="326"/>
      <c r="L63" s="118"/>
      <c r="M63" s="118"/>
      <c r="N63" s="118"/>
      <c r="R63" s="1" t="s">
        <v>69</v>
      </c>
      <c r="S63" s="1"/>
      <c r="T63" s="1"/>
    </row>
    <row r="64" spans="1:21" s="2" customFormat="1" ht="15.6">
      <c r="A64" s="121" t="s">
        <v>11</v>
      </c>
      <c r="B64" s="121" t="s">
        <v>12</v>
      </c>
      <c r="C64" s="121" t="s">
        <v>13</v>
      </c>
      <c r="D64" s="121" t="s">
        <v>14</v>
      </c>
      <c r="E64" s="121" t="s">
        <v>15</v>
      </c>
      <c r="F64" s="121" t="s">
        <v>16</v>
      </c>
      <c r="G64" s="121" t="s">
        <v>17</v>
      </c>
      <c r="H64" s="121" t="s">
        <v>18</v>
      </c>
      <c r="I64" s="121" t="s">
        <v>19</v>
      </c>
      <c r="J64" s="121" t="s">
        <v>20</v>
      </c>
      <c r="K64" s="121" t="s">
        <v>21</v>
      </c>
      <c r="L64" s="121" t="s">
        <v>22</v>
      </c>
      <c r="M64" s="121" t="s">
        <v>23</v>
      </c>
      <c r="N64" s="121" t="s">
        <v>24</v>
      </c>
    </row>
    <row r="65" spans="1:14" s="2" customFormat="1" ht="15.75" customHeight="1">
      <c r="A65" s="52"/>
      <c r="B65" s="51"/>
      <c r="C65" s="51"/>
      <c r="D65" s="51"/>
      <c r="E65" s="51"/>
      <c r="F65" s="51"/>
      <c r="G65" s="51"/>
      <c r="H65" s="51"/>
      <c r="I65" s="51"/>
      <c r="J65" s="51"/>
      <c r="K65" s="51"/>
      <c r="L65" s="51"/>
      <c r="M65" s="51"/>
      <c r="N65" s="125" t="str">
        <f>IF(SUM(B65:M65)=0,"",IF(SUM(B65:M65)="","",SUM(B65:M65)))</f>
        <v/>
      </c>
    </row>
    <row r="66" spans="1:14" s="2" customFormat="1" ht="15.75" customHeight="1">
      <c r="A66" s="52"/>
      <c r="B66" s="51"/>
      <c r="C66" s="51"/>
      <c r="D66" s="51"/>
      <c r="E66" s="51"/>
      <c r="F66" s="51"/>
      <c r="G66" s="51"/>
      <c r="H66" s="51"/>
      <c r="I66" s="51"/>
      <c r="J66" s="51"/>
      <c r="K66" s="51"/>
      <c r="L66" s="51"/>
      <c r="M66" s="51"/>
      <c r="N66" s="125" t="str">
        <f t="shared" ref="N66:N69" si="17">IF(SUM(B66:M66)=0,"",IF(SUM(B66:M66)="","",SUM(B66:M66)))</f>
        <v/>
      </c>
    </row>
    <row r="67" spans="1:14" s="2" customFormat="1" ht="15.75" customHeight="1">
      <c r="A67" s="52"/>
      <c r="B67" s="51"/>
      <c r="C67" s="51"/>
      <c r="D67" s="51"/>
      <c r="E67" s="51"/>
      <c r="F67" s="51"/>
      <c r="G67" s="51"/>
      <c r="H67" s="51"/>
      <c r="I67" s="51"/>
      <c r="J67" s="51"/>
      <c r="K67" s="51"/>
      <c r="L67" s="51"/>
      <c r="M67" s="51"/>
      <c r="N67" s="125" t="str">
        <f t="shared" si="17"/>
        <v/>
      </c>
    </row>
    <row r="68" spans="1:14" s="2" customFormat="1" ht="15.75" customHeight="1">
      <c r="A68" s="52"/>
      <c r="B68" s="51"/>
      <c r="C68" s="51"/>
      <c r="D68" s="51"/>
      <c r="E68" s="51"/>
      <c r="F68" s="51"/>
      <c r="G68" s="51"/>
      <c r="H68" s="51"/>
      <c r="I68" s="51"/>
      <c r="J68" s="51"/>
      <c r="K68" s="51"/>
      <c r="L68" s="51"/>
      <c r="M68" s="51"/>
      <c r="N68" s="125" t="str">
        <f t="shared" si="17"/>
        <v/>
      </c>
    </row>
    <row r="69" spans="1:14" s="2" customFormat="1" ht="15.75" customHeight="1">
      <c r="A69" s="52"/>
      <c r="B69" s="51"/>
      <c r="C69" s="51"/>
      <c r="D69" s="51"/>
      <c r="E69" s="51"/>
      <c r="F69" s="51"/>
      <c r="G69" s="51"/>
      <c r="H69" s="51"/>
      <c r="I69" s="51"/>
      <c r="J69" s="51"/>
      <c r="K69" s="51"/>
      <c r="L69" s="51"/>
      <c r="M69" s="51"/>
      <c r="N69" s="125" t="str">
        <f t="shared" si="17"/>
        <v/>
      </c>
    </row>
    <row r="70" spans="1:14" s="2" customFormat="1" ht="15.75" customHeight="1">
      <c r="A70" s="319" t="s">
        <v>26</v>
      </c>
      <c r="B70" s="305"/>
      <c r="C70" s="305"/>
      <c r="D70" s="305"/>
      <c r="E70" s="305"/>
      <c r="F70" s="305"/>
      <c r="G70" s="305"/>
      <c r="H70" s="305"/>
      <c r="I70" s="305"/>
      <c r="J70" s="305"/>
      <c r="K70" s="305"/>
      <c r="L70" s="305"/>
      <c r="M70" s="306"/>
      <c r="N70" s="126">
        <f>SUM(N65:N69)</f>
        <v>0</v>
      </c>
    </row>
    <row r="71" spans="1:14" ht="3.6" customHeight="1"/>
  </sheetData>
  <sheetProtection algorithmName="SHA-512" hashValue="QdI1QB6acqJHzGsobtt6RC5iwBHWTaAsxZyDw0SMTgh0nsFrAzOlst+1633OPwxQkUxpZdcM6mgdaskI2N3SBA==" saltValue="z+WgWSsnI/efShoP3srAvQ==" spinCount="100000" sheet="1" objects="1" scenarios="1"/>
  <mergeCells count="41">
    <mergeCell ref="A1:N1"/>
    <mergeCell ref="B63:K63"/>
    <mergeCell ref="L3:N3"/>
    <mergeCell ref="E3:J3"/>
    <mergeCell ref="A4:D4"/>
    <mergeCell ref="E4:J4"/>
    <mergeCell ref="B19:K19"/>
    <mergeCell ref="A3:D3"/>
    <mergeCell ref="E22:G22"/>
    <mergeCell ref="J20:K20"/>
    <mergeCell ref="L20:N20"/>
    <mergeCell ref="H22:K22"/>
    <mergeCell ref="C20:E20"/>
    <mergeCell ref="A5:D5"/>
    <mergeCell ref="K5:N5"/>
    <mergeCell ref="A20:B20"/>
    <mergeCell ref="A70:M70"/>
    <mergeCell ref="K21:L21"/>
    <mergeCell ref="B23:N23"/>
    <mergeCell ref="A21:I21"/>
    <mergeCell ref="A22:D22"/>
    <mergeCell ref="B35:H35"/>
    <mergeCell ref="A34:E34"/>
    <mergeCell ref="B53:K53"/>
    <mergeCell ref="A54:C54"/>
    <mergeCell ref="A44:M44"/>
    <mergeCell ref="B45:K45"/>
    <mergeCell ref="A52:K52"/>
    <mergeCell ref="J34:N34"/>
    <mergeCell ref="A33:N33"/>
    <mergeCell ref="L4:N4"/>
    <mergeCell ref="A7:N7"/>
    <mergeCell ref="L62:M62"/>
    <mergeCell ref="L52:M52"/>
    <mergeCell ref="A32:J32"/>
    <mergeCell ref="L32:M32"/>
    <mergeCell ref="E5:F5"/>
    <mergeCell ref="B9:M9"/>
    <mergeCell ref="F20:H20"/>
    <mergeCell ref="A18:K18"/>
    <mergeCell ref="L18:M18"/>
  </mergeCells>
  <phoneticPr fontId="28" type="noConversion"/>
  <conditionalFormatting sqref="A19:A23 L22:N22 L53:N53">
    <cfRule type="expression" dxfId="244" priority="44">
      <formula>#REF!=0</formula>
    </cfRule>
  </conditionalFormatting>
  <conditionalFormatting sqref="A37:A43">
    <cfRule type="expression" dxfId="243" priority="4">
      <formula>A37=""</formula>
    </cfRule>
  </conditionalFormatting>
  <conditionalFormatting sqref="A54:C54">
    <cfRule type="expression" dxfId="242" priority="9">
      <formula>$A$54=""</formula>
    </cfRule>
  </conditionalFormatting>
  <conditionalFormatting sqref="A11:M17">
    <cfRule type="expression" dxfId="241" priority="6">
      <formula>A11=""</formula>
    </cfRule>
  </conditionalFormatting>
  <conditionalFormatting sqref="A25:M31">
    <cfRule type="expression" dxfId="240" priority="5">
      <formula>A25=""</formula>
    </cfRule>
  </conditionalFormatting>
  <conditionalFormatting sqref="A47:M51">
    <cfRule type="expression" dxfId="239" priority="3">
      <formula>A47=""</formula>
    </cfRule>
  </conditionalFormatting>
  <conditionalFormatting sqref="A57:M61">
    <cfRule type="expression" dxfId="238" priority="2">
      <formula>A57=""</formula>
    </cfRule>
  </conditionalFormatting>
  <conditionalFormatting sqref="A65:M69">
    <cfRule type="expression" dxfId="237" priority="1">
      <formula>A65=""</formula>
    </cfRule>
  </conditionalFormatting>
  <conditionalFormatting sqref="B56:N56 N57:N61">
    <cfRule type="expression" dxfId="236" priority="38">
      <formula>#REF!=0</formula>
    </cfRule>
  </conditionalFormatting>
  <conditionalFormatting sqref="B64:N64 N65:N70">
    <cfRule type="expression" dxfId="235" priority="21">
      <formula>#REF!=0</formula>
    </cfRule>
  </conditionalFormatting>
  <conditionalFormatting sqref="E22 J21 A54 C20 I20">
    <cfRule type="expression" dxfId="234" priority="52">
      <formula>#REF!=1</formula>
    </cfRule>
  </conditionalFormatting>
  <conditionalFormatting sqref="E5:F5">
    <cfRule type="expression" dxfId="233" priority="18">
      <formula>$E$5=""</formula>
    </cfRule>
  </conditionalFormatting>
  <conditionalFormatting sqref="E22:G22">
    <cfRule type="expression" dxfId="232" priority="17">
      <formula>$E$22=""</formula>
    </cfRule>
  </conditionalFormatting>
  <conditionalFormatting sqref="E3:J4">
    <cfRule type="expression" dxfId="231" priority="19">
      <formula>E$3=""</formula>
    </cfRule>
  </conditionalFormatting>
  <conditionalFormatting sqref="I34">
    <cfRule type="expression" dxfId="230" priority="12">
      <formula>$I$34=""</formula>
    </cfRule>
  </conditionalFormatting>
  <conditionalFormatting sqref="J21">
    <cfRule type="expression" dxfId="229" priority="16">
      <formula>$J$21=""</formula>
    </cfRule>
  </conditionalFormatting>
  <conditionalFormatting sqref="L32 A32:A35">
    <cfRule type="expression" dxfId="228" priority="50">
      <formula>#REF!=0</formula>
    </cfRule>
  </conditionalFormatting>
  <conditionalFormatting sqref="L45:N45">
    <cfRule type="expression" dxfId="227" priority="47">
      <formula>#REF!=0</formula>
    </cfRule>
  </conditionalFormatting>
  <conditionalFormatting sqref="L63:N63">
    <cfRule type="expression" dxfId="226" priority="22">
      <formula>#REF!=0</formula>
    </cfRule>
  </conditionalFormatting>
  <conditionalFormatting sqref="M21">
    <cfRule type="expression" dxfId="225" priority="15">
      <formula>$M$21=""</formula>
    </cfRule>
  </conditionalFormatting>
  <dataValidations count="6">
    <dataValidation allowBlank="1" showErrorMessage="1" errorTitle="KĻŪDA" error="Tikai veseli skaitļi robežās no 0 līdz 10000000" sqref="A33 B37:M43 B65:M69 K21 L19:N19 H22 N62 I20:J20 B19 N32 F20 N47:N52 N18 N21:N22 B57:M61 B25:M31 E22 L22:M22 N44 N70 B47:M51" xr:uid="{00000000-0002-0000-0000-000000000000}"/>
    <dataValidation allowBlank="1" showErrorMessage="1" errorTitle="KĻŪDA" error="Tikai veseli skaitļi robežās no 2005 līdz 2015" sqref="A32 L32 A19:A23" xr:uid="{00000000-0002-0000-0000-000001000000}"/>
    <dataValidation type="decimal" allowBlank="1" showErrorMessage="1" errorTitle="KĻŪDA" error="Tikai skaitļi no 0 līdz 1" sqref="J21" xr:uid="{00000000-0002-0000-0000-000002000000}">
      <formula1>0.1</formula1>
      <formula2>1</formula2>
    </dataValidation>
    <dataValidation type="decimal" allowBlank="1" showErrorMessage="1" errorTitle="KĻŪDA" error="Tikai skaitļi no 0 līdz 1" sqref="M21" xr:uid="{10C0E9C5-CE61-42D2-A28F-35F5F56870F9}">
      <formula1>1</formula1>
      <formula2>5</formula2>
    </dataValidation>
    <dataValidation type="whole" allowBlank="1" showInputMessage="1" showErrorMessage="1" sqref="A11:A17 A65:A69 A25:A31 A47:A51 A57:A61 A37:A43" xr:uid="{342964D9-85CB-47E1-B3F5-E5FD783EAB3B}">
      <formula1>2015</formula1>
      <formula2>2024</formula2>
    </dataValidation>
    <dataValidation type="list" allowBlank="1" showInputMessage="1" showErrorMessage="1" sqref="C20:E20" xr:uid="{00000000-0002-0000-0000-000003000000}">
      <formula1>$R$37:$R$54</formula1>
    </dataValidation>
  </dataValidations>
  <printOptions horizontalCentered="1"/>
  <pageMargins left="0.11811023622047245" right="0.11811023622047245" top="0.35433070866141736" bottom="0.35433070866141736" header="0.31496062992125984" footer="0.31496062992125984"/>
  <pageSetup paperSize="9" scale="72" orientation="portrait" horizontalDpi="1200" verticalDpi="1200" r:id="rId1"/>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2DF3-C402-426C-B037-B7F5F5C11F97}">
  <sheetPr>
    <tabColor rgb="FF00B0F0"/>
  </sheetPr>
  <dimension ref="A1:S61"/>
  <sheetViews>
    <sheetView view="pageBreakPreview" zoomScaleNormal="100" zoomScaleSheetLayoutView="100" workbookViewId="0">
      <selection activeCell="A51" sqref="A51"/>
    </sheetView>
  </sheetViews>
  <sheetFormatPr defaultColWidth="9.140625" defaultRowHeight="15.6"/>
  <cols>
    <col min="1" max="1" width="5.5703125" style="138" customWidth="1"/>
    <col min="2" max="5" width="12.85546875" style="138" customWidth="1"/>
    <col min="6" max="6" width="11.42578125" style="138" customWidth="1"/>
    <col min="7" max="9" width="12.85546875" style="138" customWidth="1"/>
    <col min="10" max="10" width="10.42578125" style="138" customWidth="1"/>
    <col min="11" max="11" width="13" style="138" customWidth="1"/>
    <col min="12" max="12" width="13.5703125" style="138" customWidth="1"/>
    <col min="13" max="13" width="10.85546875" style="138" hidden="1" customWidth="1"/>
    <col min="14" max="14" width="14.42578125" style="138" hidden="1" customWidth="1"/>
    <col min="15" max="23" width="0" style="138" hidden="1" customWidth="1"/>
    <col min="24" max="16384" width="9.140625" style="138"/>
  </cols>
  <sheetData>
    <row r="1" spans="1:15" s="127" customFormat="1" ht="42" customHeight="1">
      <c r="A1" s="371" t="s">
        <v>74</v>
      </c>
      <c r="B1" s="371"/>
      <c r="C1" s="371"/>
      <c r="D1" s="371"/>
      <c r="E1" s="371"/>
      <c r="F1" s="371"/>
      <c r="G1" s="371"/>
      <c r="H1" s="371"/>
      <c r="I1" s="371"/>
      <c r="J1" s="371"/>
      <c r="K1" s="371"/>
    </row>
    <row r="2" spans="1:15" s="88" customFormat="1" ht="3.6" customHeight="1">
      <c r="A2" s="128"/>
      <c r="B2" s="129"/>
      <c r="C2" s="129"/>
      <c r="D2" s="129"/>
      <c r="E2" s="129"/>
      <c r="F2" s="129"/>
      <c r="G2" s="129"/>
      <c r="H2" s="129"/>
      <c r="I2" s="129"/>
      <c r="J2" s="129"/>
      <c r="K2" s="130"/>
    </row>
    <row r="3" spans="1:15" s="89" customFormat="1" ht="14.1">
      <c r="A3" s="131" t="s">
        <v>75</v>
      </c>
      <c r="B3" s="372" t="s">
        <v>76</v>
      </c>
      <c r="C3" s="372"/>
      <c r="D3" s="372"/>
      <c r="E3" s="372"/>
      <c r="F3" s="372"/>
      <c r="G3" s="372"/>
      <c r="H3" s="372"/>
      <c r="I3" s="372"/>
      <c r="J3" s="372"/>
      <c r="K3" s="372"/>
      <c r="L3" s="132"/>
      <c r="M3" s="132"/>
    </row>
    <row r="4" spans="1:15" s="89" customFormat="1" ht="14.1">
      <c r="A4" s="133" t="s">
        <v>77</v>
      </c>
      <c r="B4" s="404" t="s">
        <v>78</v>
      </c>
      <c r="C4" s="404"/>
      <c r="D4" s="404"/>
      <c r="E4" s="404"/>
      <c r="F4" s="404"/>
      <c r="G4" s="404"/>
      <c r="H4" s="404"/>
      <c r="I4" s="404"/>
      <c r="J4" s="404"/>
      <c r="K4" s="404"/>
      <c r="L4" s="132"/>
      <c r="M4" s="132"/>
    </row>
    <row r="5" spans="1:15" ht="27.6" customHeight="1">
      <c r="A5" s="373" t="s">
        <v>79</v>
      </c>
      <c r="B5" s="135" t="s">
        <v>80</v>
      </c>
      <c r="C5" s="391" t="s">
        <v>81</v>
      </c>
      <c r="D5" s="409"/>
      <c r="E5" s="391" t="s">
        <v>82</v>
      </c>
      <c r="F5" s="409"/>
      <c r="G5" s="136" t="s">
        <v>83</v>
      </c>
      <c r="H5" s="391" t="s">
        <v>84</v>
      </c>
      <c r="I5" s="409"/>
      <c r="J5" s="410" t="s">
        <v>85</v>
      </c>
      <c r="K5" s="411"/>
      <c r="L5" s="137"/>
      <c r="M5" s="137"/>
    </row>
    <row r="6" spans="1:15" s="142" customFormat="1" ht="13.35" customHeight="1">
      <c r="A6" s="374"/>
      <c r="B6" s="139" t="s">
        <v>86</v>
      </c>
      <c r="C6" s="412" t="s">
        <v>87</v>
      </c>
      <c r="D6" s="412"/>
      <c r="E6" s="407" t="s">
        <v>88</v>
      </c>
      <c r="F6" s="408"/>
      <c r="G6" s="139" t="s">
        <v>89</v>
      </c>
      <c r="H6" s="407" t="s">
        <v>88</v>
      </c>
      <c r="I6" s="408"/>
      <c r="J6" s="350" t="s">
        <v>88</v>
      </c>
      <c r="K6" s="350"/>
      <c r="L6" s="141"/>
      <c r="M6" s="141"/>
    </row>
    <row r="7" spans="1:15" s="147" customFormat="1" ht="8.1">
      <c r="A7" s="143">
        <v>1</v>
      </c>
      <c r="B7" s="144">
        <v>2</v>
      </c>
      <c r="C7" s="405">
        <v>3</v>
      </c>
      <c r="D7" s="405"/>
      <c r="E7" s="351">
        <v>4</v>
      </c>
      <c r="F7" s="353"/>
      <c r="G7" s="143">
        <v>5</v>
      </c>
      <c r="H7" s="351">
        <v>6</v>
      </c>
      <c r="I7" s="353"/>
      <c r="J7" s="351">
        <v>7</v>
      </c>
      <c r="K7" s="353"/>
      <c r="L7" s="146"/>
      <c r="M7" s="146"/>
    </row>
    <row r="8" spans="1:15">
      <c r="A8" s="148">
        <v>1</v>
      </c>
      <c r="B8" s="54"/>
      <c r="C8" s="402"/>
      <c r="D8" s="403"/>
      <c r="E8" s="402"/>
      <c r="F8" s="403"/>
      <c r="G8" s="54"/>
      <c r="H8" s="402"/>
      <c r="I8" s="403"/>
      <c r="J8" s="377">
        <f>ROUND(H8+E8,0)*O8</f>
        <v>0</v>
      </c>
      <c r="K8" s="378"/>
      <c r="L8" s="137"/>
      <c r="M8" s="137"/>
      <c r="O8" s="138">
        <f>IF(A9="Jā",,1)</f>
        <v>1</v>
      </c>
    </row>
    <row r="9" spans="1:15" s="142" customFormat="1" ht="17.45" customHeight="1">
      <c r="A9" s="75" t="s">
        <v>90</v>
      </c>
      <c r="B9" s="370" t="s">
        <v>91</v>
      </c>
      <c r="C9" s="347"/>
      <c r="D9" s="347"/>
      <c r="E9" s="347"/>
      <c r="F9" s="347"/>
      <c r="G9" s="347"/>
      <c r="H9" s="347"/>
      <c r="I9" s="347"/>
      <c r="J9" s="347"/>
      <c r="K9" s="348"/>
    </row>
    <row r="10" spans="1:15" s="89" customFormat="1" ht="14.1">
      <c r="A10" s="133" t="s">
        <v>92</v>
      </c>
      <c r="B10" s="404" t="s">
        <v>93</v>
      </c>
      <c r="C10" s="404"/>
      <c r="D10" s="404"/>
      <c r="E10" s="404"/>
      <c r="F10" s="404"/>
      <c r="G10" s="404"/>
      <c r="H10" s="404"/>
      <c r="I10" s="404"/>
      <c r="J10" s="404"/>
      <c r="K10" s="404"/>
      <c r="L10" s="132"/>
      <c r="M10" s="132"/>
    </row>
    <row r="11" spans="1:15" ht="27.6" customHeight="1">
      <c r="A11" s="373" t="s">
        <v>79</v>
      </c>
      <c r="B11" s="358" t="s">
        <v>94</v>
      </c>
      <c r="C11" s="359"/>
      <c r="D11" s="359"/>
      <c r="E11" s="406" t="s">
        <v>95</v>
      </c>
      <c r="F11" s="406"/>
      <c r="G11" s="136" t="s">
        <v>96</v>
      </c>
      <c r="H11" s="136" t="s">
        <v>97</v>
      </c>
      <c r="I11" s="136" t="s">
        <v>98</v>
      </c>
      <c r="J11" s="349" t="s">
        <v>99</v>
      </c>
      <c r="K11" s="349"/>
      <c r="L11" s="137"/>
      <c r="M11" s="137"/>
    </row>
    <row r="12" spans="1:15" s="142" customFormat="1" ht="13.35" customHeight="1">
      <c r="A12" s="374"/>
      <c r="B12" s="361"/>
      <c r="C12" s="362"/>
      <c r="D12" s="362"/>
      <c r="E12" s="406"/>
      <c r="F12" s="406"/>
      <c r="G12" s="139" t="s">
        <v>100</v>
      </c>
      <c r="H12" s="139" t="s">
        <v>100</v>
      </c>
      <c r="I12" s="139" t="s">
        <v>101</v>
      </c>
      <c r="J12" s="400" t="s">
        <v>88</v>
      </c>
      <c r="K12" s="401"/>
      <c r="L12" s="141"/>
      <c r="M12" s="141"/>
    </row>
    <row r="13" spans="1:15" s="147" customFormat="1" ht="8.1">
      <c r="A13" s="143">
        <v>1</v>
      </c>
      <c r="B13" s="351">
        <v>2</v>
      </c>
      <c r="C13" s="352"/>
      <c r="D13" s="352"/>
      <c r="E13" s="405">
        <v>3</v>
      </c>
      <c r="F13" s="405"/>
      <c r="G13" s="143">
        <v>4</v>
      </c>
      <c r="H13" s="143">
        <v>5</v>
      </c>
      <c r="I13" s="143">
        <v>6</v>
      </c>
      <c r="J13" s="351">
        <v>7</v>
      </c>
      <c r="K13" s="353"/>
      <c r="L13" s="146"/>
      <c r="M13" s="146"/>
    </row>
    <row r="14" spans="1:15">
      <c r="A14" s="149">
        <v>1</v>
      </c>
      <c r="B14" s="397"/>
      <c r="C14" s="397"/>
      <c r="D14" s="397"/>
      <c r="E14" s="398" t="s">
        <v>102</v>
      </c>
      <c r="F14" s="399"/>
      <c r="G14" s="55"/>
      <c r="H14" s="55"/>
      <c r="I14" s="55"/>
      <c r="J14" s="383">
        <f>IFERROR((H14*I14/1000*O14),0)</f>
        <v>0</v>
      </c>
      <c r="K14" s="384"/>
      <c r="L14" s="137"/>
      <c r="M14" s="137"/>
      <c r="O14" s="138">
        <f>IF($A$23="Jā",0,1)</f>
        <v>1</v>
      </c>
    </row>
    <row r="15" spans="1:15">
      <c r="A15" s="149">
        <v>2</v>
      </c>
      <c r="B15" s="397"/>
      <c r="C15" s="397"/>
      <c r="D15" s="397"/>
      <c r="E15" s="398" t="s">
        <v>102</v>
      </c>
      <c r="F15" s="399"/>
      <c r="G15" s="55"/>
      <c r="H15" s="55"/>
      <c r="I15" s="55"/>
      <c r="J15" s="383">
        <f t="shared" ref="J15:J18" si="0">IFERROR((H15*I15/1000*O15),0)</f>
        <v>0</v>
      </c>
      <c r="K15" s="384"/>
      <c r="L15" s="137"/>
      <c r="M15" s="137"/>
      <c r="O15" s="138">
        <f t="shared" ref="O15:O22" si="1">IF($A$23="Jā",0,1)</f>
        <v>1</v>
      </c>
    </row>
    <row r="16" spans="1:15">
      <c r="A16" s="149">
        <v>3</v>
      </c>
      <c r="B16" s="397"/>
      <c r="C16" s="397"/>
      <c r="D16" s="397"/>
      <c r="E16" s="398" t="s">
        <v>102</v>
      </c>
      <c r="F16" s="399"/>
      <c r="G16" s="55"/>
      <c r="H16" s="55"/>
      <c r="I16" s="55"/>
      <c r="J16" s="383">
        <f t="shared" si="0"/>
        <v>0</v>
      </c>
      <c r="K16" s="384"/>
      <c r="L16" s="137"/>
      <c r="M16" s="137"/>
      <c r="O16" s="138">
        <f t="shared" si="1"/>
        <v>1</v>
      </c>
    </row>
    <row r="17" spans="1:19" ht="15.6" customHeight="1">
      <c r="A17" s="149">
        <v>4</v>
      </c>
      <c r="B17" s="397"/>
      <c r="C17" s="397"/>
      <c r="D17" s="397"/>
      <c r="E17" s="398" t="s">
        <v>102</v>
      </c>
      <c r="F17" s="399"/>
      <c r="G17" s="55"/>
      <c r="H17" s="55"/>
      <c r="I17" s="55"/>
      <c r="J17" s="383">
        <f t="shared" si="0"/>
        <v>0</v>
      </c>
      <c r="K17" s="384"/>
      <c r="L17" s="137"/>
      <c r="M17" s="137"/>
      <c r="O17" s="138">
        <f t="shared" si="1"/>
        <v>1</v>
      </c>
    </row>
    <row r="18" spans="1:19" ht="15.6" customHeight="1">
      <c r="A18" s="149">
        <v>5</v>
      </c>
      <c r="B18" s="397"/>
      <c r="C18" s="397"/>
      <c r="D18" s="397"/>
      <c r="E18" s="398" t="s">
        <v>102</v>
      </c>
      <c r="F18" s="399"/>
      <c r="G18" s="55"/>
      <c r="H18" s="55"/>
      <c r="I18" s="55"/>
      <c r="J18" s="383">
        <f t="shared" si="0"/>
        <v>0</v>
      </c>
      <c r="K18" s="384"/>
      <c r="L18" s="137"/>
      <c r="M18" s="137"/>
      <c r="O18" s="138">
        <f t="shared" si="1"/>
        <v>1</v>
      </c>
    </row>
    <row r="19" spans="1:19">
      <c r="A19" s="387" t="s">
        <v>103</v>
      </c>
      <c r="B19" s="388"/>
      <c r="C19" s="388"/>
      <c r="D19" s="388"/>
      <c r="E19" s="388"/>
      <c r="F19" s="388"/>
      <c r="G19" s="388"/>
      <c r="H19" s="388"/>
      <c r="I19" s="389"/>
      <c r="J19" s="377">
        <f>ROUND(SUM(J14:K18),0)</f>
        <v>0</v>
      </c>
      <c r="K19" s="378"/>
      <c r="L19" s="137"/>
      <c r="M19" s="137"/>
      <c r="O19" s="138">
        <f t="shared" si="1"/>
        <v>1</v>
      </c>
    </row>
    <row r="20" spans="1:19" ht="15.6" customHeight="1">
      <c r="A20" s="149">
        <v>6</v>
      </c>
      <c r="B20" s="397"/>
      <c r="C20" s="397"/>
      <c r="D20" s="397"/>
      <c r="E20" s="398" t="s">
        <v>104</v>
      </c>
      <c r="F20" s="399"/>
      <c r="G20" s="55"/>
      <c r="H20" s="55"/>
      <c r="I20" s="55"/>
      <c r="J20" s="383">
        <f t="shared" ref="J20:J21" si="2">IFERROR((H20*I20/1000*O20),0)</f>
        <v>0</v>
      </c>
      <c r="K20" s="384"/>
      <c r="L20" s="137"/>
      <c r="M20" s="137"/>
      <c r="O20" s="138">
        <f t="shared" si="1"/>
        <v>1</v>
      </c>
    </row>
    <row r="21" spans="1:19" ht="15.6" customHeight="1">
      <c r="A21" s="149">
        <v>7</v>
      </c>
      <c r="B21" s="397"/>
      <c r="C21" s="397"/>
      <c r="D21" s="397"/>
      <c r="E21" s="398" t="s">
        <v>104</v>
      </c>
      <c r="F21" s="399"/>
      <c r="G21" s="55"/>
      <c r="H21" s="55"/>
      <c r="I21" s="55"/>
      <c r="J21" s="383">
        <f t="shared" si="2"/>
        <v>0</v>
      </c>
      <c r="K21" s="384"/>
      <c r="L21" s="137"/>
      <c r="M21" s="137"/>
      <c r="O21" s="138">
        <f t="shared" si="1"/>
        <v>1</v>
      </c>
    </row>
    <row r="22" spans="1:19">
      <c r="A22" s="387" t="s">
        <v>105</v>
      </c>
      <c r="B22" s="388"/>
      <c r="C22" s="388"/>
      <c r="D22" s="388"/>
      <c r="E22" s="388"/>
      <c r="F22" s="388"/>
      <c r="G22" s="388"/>
      <c r="H22" s="388"/>
      <c r="I22" s="389"/>
      <c r="J22" s="377">
        <f>ROUND(SUM(J20:K21),0)</f>
        <v>0</v>
      </c>
      <c r="K22" s="378"/>
      <c r="L22" s="137"/>
      <c r="M22" s="137"/>
      <c r="O22" s="138">
        <f t="shared" si="1"/>
        <v>1</v>
      </c>
    </row>
    <row r="23" spans="1:19" s="142" customFormat="1" ht="15">
      <c r="A23" s="75" t="s">
        <v>90</v>
      </c>
      <c r="B23" s="370" t="s">
        <v>106</v>
      </c>
      <c r="C23" s="347"/>
      <c r="D23" s="347"/>
      <c r="E23" s="347"/>
      <c r="F23" s="347"/>
      <c r="G23" s="347"/>
      <c r="H23" s="347"/>
      <c r="I23" s="347"/>
      <c r="J23" s="347"/>
      <c r="K23" s="348"/>
      <c r="P23" s="142" t="s">
        <v>107</v>
      </c>
      <c r="Q23" s="142">
        <v>30</v>
      </c>
      <c r="R23" s="142">
        <v>5</v>
      </c>
      <c r="S23" s="142">
        <v>0.35</v>
      </c>
    </row>
    <row r="24" spans="1:19" s="89" customFormat="1" ht="14.1">
      <c r="A24" s="131" t="s">
        <v>108</v>
      </c>
      <c r="B24" s="390" t="s">
        <v>109</v>
      </c>
      <c r="C24" s="390"/>
      <c r="D24" s="390"/>
      <c r="E24" s="390"/>
      <c r="F24" s="390"/>
      <c r="G24" s="390"/>
      <c r="H24" s="390"/>
      <c r="I24" s="390"/>
      <c r="J24" s="390"/>
      <c r="K24" s="390"/>
      <c r="L24" s="132"/>
      <c r="M24" s="132"/>
      <c r="P24" s="89" t="s">
        <v>110</v>
      </c>
      <c r="Q24" s="89">
        <v>530</v>
      </c>
      <c r="R24" s="89">
        <v>30</v>
      </c>
      <c r="S24" s="89">
        <v>0.6</v>
      </c>
    </row>
    <row r="25" spans="1:19" ht="42" customHeight="1">
      <c r="A25" s="373" t="s">
        <v>79</v>
      </c>
      <c r="B25" s="358" t="s">
        <v>111</v>
      </c>
      <c r="C25" s="360"/>
      <c r="D25" s="136" t="s">
        <v>112</v>
      </c>
      <c r="E25" s="391" t="s">
        <v>113</v>
      </c>
      <c r="F25" s="392"/>
      <c r="G25" s="136" t="s">
        <v>114</v>
      </c>
      <c r="H25" s="136" t="s">
        <v>115</v>
      </c>
      <c r="I25" s="136" t="s">
        <v>116</v>
      </c>
      <c r="J25" s="393" t="s">
        <v>117</v>
      </c>
      <c r="K25" s="394"/>
      <c r="L25" s="137"/>
      <c r="M25" s="137"/>
      <c r="P25" s="138" t="s">
        <v>118</v>
      </c>
      <c r="Q25" s="138">
        <v>170</v>
      </c>
      <c r="R25" s="138">
        <v>50</v>
      </c>
      <c r="S25" s="138">
        <v>0.78</v>
      </c>
    </row>
    <row r="26" spans="1:19" s="155" customFormat="1" ht="12" customHeight="1">
      <c r="A26" s="374"/>
      <c r="B26" s="361"/>
      <c r="C26" s="363"/>
      <c r="D26" s="151" t="s">
        <v>119</v>
      </c>
      <c r="E26" s="151" t="s">
        <v>120</v>
      </c>
      <c r="F26" s="152" t="s">
        <v>88</v>
      </c>
      <c r="G26" s="153" t="s">
        <v>89</v>
      </c>
      <c r="H26" s="140" t="s">
        <v>88</v>
      </c>
      <c r="I26" s="140" t="s">
        <v>88</v>
      </c>
      <c r="J26" s="395"/>
      <c r="K26" s="396"/>
      <c r="L26" s="154"/>
      <c r="M26" s="154"/>
      <c r="P26" s="155" t="s">
        <v>121</v>
      </c>
      <c r="Q26" s="155">
        <v>500</v>
      </c>
      <c r="R26" s="155">
        <v>80</v>
      </c>
      <c r="S26" s="155">
        <v>0.98</v>
      </c>
    </row>
    <row r="27" spans="1:19" s="147" customFormat="1" ht="8.1">
      <c r="A27" s="143">
        <v>1</v>
      </c>
      <c r="B27" s="351">
        <v>2</v>
      </c>
      <c r="C27" s="353"/>
      <c r="D27" s="143">
        <v>3</v>
      </c>
      <c r="E27" s="143">
        <v>4</v>
      </c>
      <c r="F27" s="144">
        <v>5</v>
      </c>
      <c r="G27" s="145">
        <v>6</v>
      </c>
      <c r="H27" s="143">
        <v>7</v>
      </c>
      <c r="I27" s="143">
        <v>8</v>
      </c>
      <c r="J27" s="351">
        <v>9</v>
      </c>
      <c r="K27" s="353"/>
      <c r="L27" s="146"/>
      <c r="M27" s="146"/>
      <c r="P27" s="147" t="s">
        <v>122</v>
      </c>
      <c r="Q27" s="147">
        <v>10</v>
      </c>
      <c r="R27" s="147">
        <v>100</v>
      </c>
      <c r="S27" s="147">
        <v>1.1000000000000001</v>
      </c>
    </row>
    <row r="28" spans="1:19">
      <c r="A28" s="156" t="s">
        <v>123</v>
      </c>
      <c r="B28" s="381"/>
      <c r="C28" s="382"/>
      <c r="D28" s="80"/>
      <c r="E28" s="157">
        <f>IFERROR(VLOOKUP(B28,P23:Q34,2,FALSE),0)</f>
        <v>0</v>
      </c>
      <c r="F28" s="150">
        <f>IFERROR((D28*E28*365/1000),0)</f>
        <v>0</v>
      </c>
      <c r="G28" s="81"/>
      <c r="H28" s="158">
        <f>IFERROR(O28*365,0)</f>
        <v>0</v>
      </c>
      <c r="I28" s="76"/>
      <c r="J28" s="383">
        <f>IFERROR((F28+H28+I28)*N28,0)</f>
        <v>0</v>
      </c>
      <c r="K28" s="384"/>
      <c r="L28" s="137"/>
      <c r="M28" s="137"/>
      <c r="N28" s="138">
        <f>IF($A$31="Jā",0,1)</f>
        <v>1</v>
      </c>
      <c r="O28" s="138" t="e">
        <f>VLOOKUP(G28,R23:S32,2,FALSE)</f>
        <v>#N/A</v>
      </c>
      <c r="P28" s="138" t="s">
        <v>124</v>
      </c>
      <c r="Q28" s="138">
        <v>75</v>
      </c>
      <c r="R28" s="138">
        <v>120</v>
      </c>
      <c r="S28" s="138">
        <v>1.2</v>
      </c>
    </row>
    <row r="29" spans="1:19">
      <c r="A29" s="156" t="s">
        <v>125</v>
      </c>
      <c r="B29" s="381"/>
      <c r="C29" s="382"/>
      <c r="D29" s="80"/>
      <c r="E29" s="157">
        <f>IFERROR(VLOOKUP(B29,P23:Q35,2,FALSE),0)</f>
        <v>0</v>
      </c>
      <c r="F29" s="150">
        <f t="shared" ref="F29:F30" si="3">IFERROR((D29*E29*365/1000),0)</f>
        <v>0</v>
      </c>
      <c r="G29" s="81"/>
      <c r="H29" s="158">
        <f t="shared" ref="H29:H30" si="4">IFERROR(O29*365,0)</f>
        <v>0</v>
      </c>
      <c r="I29" s="76"/>
      <c r="J29" s="383">
        <f t="shared" ref="J29:J30" si="5">IFERROR((F29+H29+I29)*N29,0)</f>
        <v>0</v>
      </c>
      <c r="K29" s="384"/>
      <c r="L29" s="137"/>
      <c r="M29" s="137"/>
      <c r="N29" s="138">
        <f t="shared" ref="N29:N30" si="6">IF($A$31="Jā",0,1)</f>
        <v>1</v>
      </c>
      <c r="O29" s="138" t="e">
        <f>VLOOKUP(G29,R23:S32,2,FALSE)</f>
        <v>#N/A</v>
      </c>
      <c r="P29" s="138" t="s">
        <v>126</v>
      </c>
      <c r="Q29" s="138">
        <v>190</v>
      </c>
      <c r="R29" s="138">
        <v>150</v>
      </c>
      <c r="S29" s="138">
        <v>1.35</v>
      </c>
    </row>
    <row r="30" spans="1:19">
      <c r="A30" s="156" t="s">
        <v>127</v>
      </c>
      <c r="B30" s="381"/>
      <c r="C30" s="382"/>
      <c r="D30" s="80"/>
      <c r="E30" s="157">
        <f>IFERROR(VLOOKUP(B30,P23:Q36,2,FALSE),0)</f>
        <v>0</v>
      </c>
      <c r="F30" s="150">
        <f t="shared" si="3"/>
        <v>0</v>
      </c>
      <c r="G30" s="81"/>
      <c r="H30" s="158">
        <f t="shared" si="4"/>
        <v>0</v>
      </c>
      <c r="I30" s="76"/>
      <c r="J30" s="383">
        <f t="shared" si="5"/>
        <v>0</v>
      </c>
      <c r="K30" s="384"/>
      <c r="L30" s="137"/>
      <c r="M30" s="137"/>
      <c r="N30" s="138">
        <f t="shared" si="6"/>
        <v>1</v>
      </c>
      <c r="O30" s="138" t="e">
        <f>VLOOKUP(G30,R23:S32,2,FALSE)</f>
        <v>#N/A</v>
      </c>
      <c r="P30" s="138" t="s">
        <v>128</v>
      </c>
      <c r="Q30" s="138">
        <v>450</v>
      </c>
      <c r="R30" s="138">
        <v>200</v>
      </c>
      <c r="S30" s="138">
        <v>1.56</v>
      </c>
    </row>
    <row r="31" spans="1:19" s="142" customFormat="1" ht="15.6" customHeight="1">
      <c r="A31" s="75" t="s">
        <v>90</v>
      </c>
      <c r="B31" s="370" t="s">
        <v>129</v>
      </c>
      <c r="C31" s="347"/>
      <c r="D31" s="347"/>
      <c r="E31" s="347"/>
      <c r="F31" s="347"/>
      <c r="G31" s="347"/>
      <c r="H31" s="347"/>
      <c r="I31" s="159"/>
      <c r="J31" s="385">
        <f>SUM(J28:K30)</f>
        <v>0</v>
      </c>
      <c r="K31" s="386"/>
      <c r="P31" s="142" t="s">
        <v>130</v>
      </c>
      <c r="Q31" s="142">
        <v>580</v>
      </c>
      <c r="R31" s="142">
        <v>300</v>
      </c>
      <c r="S31" s="142">
        <v>1.91</v>
      </c>
    </row>
    <row r="32" spans="1:19" ht="21.6" customHeight="1">
      <c r="A32" s="131" t="s">
        <v>131</v>
      </c>
      <c r="B32" s="372" t="s">
        <v>132</v>
      </c>
      <c r="C32" s="372"/>
      <c r="D32" s="372"/>
      <c r="E32" s="372"/>
      <c r="F32" s="372"/>
      <c r="G32" s="372"/>
      <c r="H32" s="372"/>
      <c r="I32" s="372"/>
      <c r="J32" s="372"/>
      <c r="K32" s="372"/>
      <c r="L32" s="137"/>
      <c r="M32" s="137"/>
      <c r="P32" s="138" t="s">
        <v>133</v>
      </c>
      <c r="Q32" s="138">
        <v>1250</v>
      </c>
      <c r="R32" s="138">
        <v>400</v>
      </c>
      <c r="S32" s="138">
        <v>2.2000000000000002</v>
      </c>
    </row>
    <row r="33" spans="1:17" ht="27.6" customHeight="1">
      <c r="A33" s="373" t="s">
        <v>79</v>
      </c>
      <c r="B33" s="358" t="s">
        <v>94</v>
      </c>
      <c r="C33" s="359"/>
      <c r="D33" s="359"/>
      <c r="E33" s="136" t="s">
        <v>96</v>
      </c>
      <c r="F33" s="136" t="s">
        <v>134</v>
      </c>
      <c r="G33" s="136" t="s">
        <v>97</v>
      </c>
      <c r="H33" s="136" t="s">
        <v>135</v>
      </c>
      <c r="I33" s="136" t="s">
        <v>98</v>
      </c>
      <c r="J33" s="349" t="s">
        <v>136</v>
      </c>
      <c r="K33" s="349"/>
      <c r="L33" s="137"/>
      <c r="M33" s="137"/>
      <c r="P33" s="138" t="s">
        <v>137</v>
      </c>
      <c r="Q33" s="138">
        <v>230</v>
      </c>
    </row>
    <row r="34" spans="1:17" s="142" customFormat="1" ht="13.35" customHeight="1">
      <c r="A34" s="374"/>
      <c r="B34" s="361"/>
      <c r="C34" s="362"/>
      <c r="D34" s="362"/>
      <c r="E34" s="98" t="s">
        <v>138</v>
      </c>
      <c r="F34" s="160" t="s">
        <v>139</v>
      </c>
      <c r="G34" s="140" t="s">
        <v>140</v>
      </c>
      <c r="H34" s="140" t="s">
        <v>139</v>
      </c>
      <c r="I34" s="140" t="s">
        <v>101</v>
      </c>
      <c r="J34" s="379" t="s">
        <v>88</v>
      </c>
      <c r="K34" s="380"/>
      <c r="L34" s="141"/>
      <c r="M34" s="141"/>
      <c r="P34" s="142" t="s">
        <v>141</v>
      </c>
      <c r="Q34" s="142">
        <v>150</v>
      </c>
    </row>
    <row r="35" spans="1:17" s="147" customFormat="1" ht="8.1">
      <c r="A35" s="143">
        <v>1</v>
      </c>
      <c r="B35" s="351">
        <v>2</v>
      </c>
      <c r="C35" s="352"/>
      <c r="D35" s="353"/>
      <c r="E35" s="143">
        <v>3</v>
      </c>
      <c r="F35" s="143">
        <v>4</v>
      </c>
      <c r="G35" s="143">
        <v>5</v>
      </c>
      <c r="H35" s="143">
        <v>6</v>
      </c>
      <c r="I35" s="143">
        <v>7</v>
      </c>
      <c r="J35" s="351">
        <v>8</v>
      </c>
      <c r="K35" s="353"/>
      <c r="L35" s="146"/>
      <c r="M35" s="146"/>
    </row>
    <row r="36" spans="1:17">
      <c r="A36" s="156" t="s">
        <v>123</v>
      </c>
      <c r="B36" s="364"/>
      <c r="C36" s="365"/>
      <c r="D36" s="366"/>
      <c r="E36" s="54"/>
      <c r="F36" s="54"/>
      <c r="G36" s="56"/>
      <c r="H36" s="54"/>
      <c r="I36" s="54"/>
      <c r="J36" s="375">
        <f>IFERROR(G36*H36*I36/1000*N36,0)</f>
        <v>0</v>
      </c>
      <c r="K36" s="376"/>
      <c r="L36" s="137"/>
      <c r="M36" s="137"/>
      <c r="N36" s="138">
        <f>IF($A$41="Jā",0,1)</f>
        <v>1</v>
      </c>
    </row>
    <row r="37" spans="1:17">
      <c r="A37" s="156" t="s">
        <v>125</v>
      </c>
      <c r="B37" s="364"/>
      <c r="C37" s="365"/>
      <c r="D37" s="366"/>
      <c r="E37" s="54"/>
      <c r="F37" s="54"/>
      <c r="G37" s="56"/>
      <c r="H37" s="54"/>
      <c r="I37" s="54"/>
      <c r="J37" s="375">
        <f t="shared" ref="J37:J39" si="7">IFERROR(G37*H37*I37/1000*N37,0)</f>
        <v>0</v>
      </c>
      <c r="K37" s="376"/>
      <c r="L37" s="137"/>
      <c r="M37" s="137"/>
      <c r="N37" s="138">
        <f t="shared" ref="N37:N39" si="8">IF($A$41="Jā",0,1)</f>
        <v>1</v>
      </c>
    </row>
    <row r="38" spans="1:17">
      <c r="A38" s="156" t="s">
        <v>127</v>
      </c>
      <c r="B38" s="364"/>
      <c r="C38" s="365"/>
      <c r="D38" s="366"/>
      <c r="E38" s="54"/>
      <c r="F38" s="54"/>
      <c r="G38" s="56"/>
      <c r="H38" s="54"/>
      <c r="I38" s="54"/>
      <c r="J38" s="375">
        <f t="shared" si="7"/>
        <v>0</v>
      </c>
      <c r="K38" s="376"/>
      <c r="L38" s="137"/>
      <c r="M38" s="137"/>
      <c r="N38" s="138">
        <f t="shared" si="8"/>
        <v>1</v>
      </c>
    </row>
    <row r="39" spans="1:17">
      <c r="A39" s="156" t="s">
        <v>142</v>
      </c>
      <c r="B39" s="364"/>
      <c r="C39" s="365"/>
      <c r="D39" s="366"/>
      <c r="E39" s="54"/>
      <c r="F39" s="54"/>
      <c r="G39" s="56"/>
      <c r="H39" s="54"/>
      <c r="I39" s="54"/>
      <c r="J39" s="375">
        <f t="shared" si="7"/>
        <v>0</v>
      </c>
      <c r="K39" s="376"/>
      <c r="L39" s="137"/>
      <c r="M39" s="137"/>
      <c r="N39" s="138">
        <f t="shared" si="8"/>
        <v>1</v>
      </c>
    </row>
    <row r="40" spans="1:17">
      <c r="A40" s="367" t="s">
        <v>143</v>
      </c>
      <c r="B40" s="368"/>
      <c r="C40" s="368"/>
      <c r="D40" s="368"/>
      <c r="E40" s="368"/>
      <c r="F40" s="368"/>
      <c r="G40" s="368"/>
      <c r="H40" s="368"/>
      <c r="I40" s="369"/>
      <c r="J40" s="377">
        <f>ROUND(SUM(J36:K39),0)</f>
        <v>0</v>
      </c>
      <c r="K40" s="378"/>
      <c r="L40" s="137"/>
      <c r="M40" s="137"/>
    </row>
    <row r="41" spans="1:17">
      <c r="A41" s="75" t="s">
        <v>90</v>
      </c>
      <c r="B41" s="347" t="s">
        <v>144</v>
      </c>
      <c r="C41" s="347"/>
      <c r="D41" s="347"/>
      <c r="E41" s="347"/>
      <c r="F41" s="347"/>
      <c r="G41" s="347"/>
      <c r="H41" s="347"/>
      <c r="I41" s="347"/>
      <c r="J41" s="347"/>
      <c r="K41" s="348"/>
      <c r="L41" s="137"/>
      <c r="M41" s="137"/>
    </row>
    <row r="42" spans="1:17" ht="22.35" customHeight="1">
      <c r="A42" s="131" t="s">
        <v>145</v>
      </c>
      <c r="B42" s="372" t="s">
        <v>146</v>
      </c>
      <c r="C42" s="372"/>
      <c r="D42" s="372"/>
      <c r="E42" s="372"/>
      <c r="F42" s="372"/>
      <c r="G42" s="372"/>
      <c r="H42" s="372"/>
      <c r="I42" s="372"/>
      <c r="J42" s="372"/>
      <c r="K42" s="372"/>
      <c r="L42" s="137"/>
      <c r="M42" s="137"/>
    </row>
    <row r="43" spans="1:17" ht="27.6" customHeight="1">
      <c r="A43" s="373" t="s">
        <v>79</v>
      </c>
      <c r="B43" s="358" t="s">
        <v>147</v>
      </c>
      <c r="C43" s="359"/>
      <c r="D43" s="134" t="s">
        <v>148</v>
      </c>
      <c r="E43" s="161" t="s">
        <v>149</v>
      </c>
      <c r="F43" s="136" t="s">
        <v>150</v>
      </c>
      <c r="G43" s="136" t="s">
        <v>97</v>
      </c>
      <c r="H43" s="136" t="s">
        <v>98</v>
      </c>
      <c r="I43" s="373" t="s">
        <v>151</v>
      </c>
      <c r="J43" s="349" t="s">
        <v>152</v>
      </c>
      <c r="K43" s="349"/>
      <c r="L43" s="137"/>
      <c r="M43" s="137"/>
    </row>
    <row r="44" spans="1:17" s="142" customFormat="1" ht="13.35" customHeight="1">
      <c r="A44" s="374"/>
      <c r="B44" s="361"/>
      <c r="C44" s="362"/>
      <c r="D44" s="140" t="s">
        <v>153</v>
      </c>
      <c r="E44" s="98" t="s">
        <v>100</v>
      </c>
      <c r="F44" s="98" t="s">
        <v>154</v>
      </c>
      <c r="G44" s="140" t="s">
        <v>155</v>
      </c>
      <c r="H44" s="140" t="s">
        <v>101</v>
      </c>
      <c r="I44" s="374"/>
      <c r="J44" s="379" t="s">
        <v>88</v>
      </c>
      <c r="K44" s="380"/>
      <c r="L44" s="141"/>
      <c r="M44" s="141"/>
    </row>
    <row r="45" spans="1:17" s="147" customFormat="1" ht="8.1">
      <c r="A45" s="143">
        <v>1</v>
      </c>
      <c r="B45" s="351">
        <v>2</v>
      </c>
      <c r="C45" s="353"/>
      <c r="D45" s="143">
        <v>3</v>
      </c>
      <c r="E45" s="143">
        <v>4</v>
      </c>
      <c r="F45" s="143">
        <v>5</v>
      </c>
      <c r="G45" s="143">
        <v>6</v>
      </c>
      <c r="H45" s="143">
        <v>7</v>
      </c>
      <c r="I45" s="143">
        <v>8</v>
      </c>
      <c r="J45" s="351">
        <v>9</v>
      </c>
      <c r="K45" s="353"/>
      <c r="L45" s="146"/>
      <c r="M45" s="146"/>
    </row>
    <row r="46" spans="1:17">
      <c r="A46" s="156" t="s">
        <v>123</v>
      </c>
      <c r="B46" s="356"/>
      <c r="C46" s="357"/>
      <c r="D46" s="57"/>
      <c r="E46" s="57"/>
      <c r="F46" s="57"/>
      <c r="G46" s="162">
        <f>IFERROR(E46*F46/D46,0)</f>
        <v>0</v>
      </c>
      <c r="H46" s="57"/>
      <c r="I46" s="57"/>
      <c r="J46" s="375">
        <f>E46*F46*H46*I46/1000*N46</f>
        <v>0</v>
      </c>
      <c r="K46" s="376"/>
      <c r="L46" s="137"/>
      <c r="M46" s="137"/>
      <c r="N46" s="138">
        <f>IF($A$51="Jā",0,1)</f>
        <v>1</v>
      </c>
    </row>
    <row r="47" spans="1:17">
      <c r="A47" s="156" t="s">
        <v>125</v>
      </c>
      <c r="B47" s="356"/>
      <c r="C47" s="357"/>
      <c r="D47" s="57"/>
      <c r="E47" s="57"/>
      <c r="F47" s="57"/>
      <c r="G47" s="162">
        <f t="shared" ref="G47:G49" si="9">IFERROR(E47*F47/D47,0)</f>
        <v>0</v>
      </c>
      <c r="H47" s="57"/>
      <c r="I47" s="57"/>
      <c r="J47" s="375">
        <f t="shared" ref="J47:J49" si="10">E47*F47*H47*I47/1000*N47</f>
        <v>0</v>
      </c>
      <c r="K47" s="376"/>
      <c r="L47" s="137"/>
      <c r="M47" s="137"/>
      <c r="N47" s="138">
        <f t="shared" ref="N47:N49" si="11">IF($A$51="Jā",0,1)</f>
        <v>1</v>
      </c>
    </row>
    <row r="48" spans="1:17">
      <c r="A48" s="156" t="s">
        <v>127</v>
      </c>
      <c r="B48" s="356"/>
      <c r="C48" s="357"/>
      <c r="D48" s="57"/>
      <c r="E48" s="57"/>
      <c r="F48" s="57"/>
      <c r="G48" s="162">
        <f t="shared" si="9"/>
        <v>0</v>
      </c>
      <c r="H48" s="57"/>
      <c r="I48" s="57"/>
      <c r="J48" s="375">
        <f t="shared" si="10"/>
        <v>0</v>
      </c>
      <c r="K48" s="376"/>
      <c r="L48" s="137"/>
      <c r="M48" s="137"/>
      <c r="N48" s="138">
        <f t="shared" si="11"/>
        <v>1</v>
      </c>
    </row>
    <row r="49" spans="1:14">
      <c r="A49" s="156" t="s">
        <v>142</v>
      </c>
      <c r="B49" s="356"/>
      <c r="C49" s="357"/>
      <c r="D49" s="57"/>
      <c r="E49" s="57"/>
      <c r="F49" s="57"/>
      <c r="G49" s="162">
        <f t="shared" si="9"/>
        <v>0</v>
      </c>
      <c r="H49" s="57"/>
      <c r="I49" s="57"/>
      <c r="J49" s="375">
        <f t="shared" si="10"/>
        <v>0</v>
      </c>
      <c r="K49" s="376"/>
      <c r="L49" s="137"/>
      <c r="M49" s="137"/>
      <c r="N49" s="138">
        <f t="shared" si="11"/>
        <v>1</v>
      </c>
    </row>
    <row r="50" spans="1:14">
      <c r="A50" s="367" t="s">
        <v>156</v>
      </c>
      <c r="B50" s="368"/>
      <c r="C50" s="368"/>
      <c r="D50" s="368"/>
      <c r="E50" s="368"/>
      <c r="F50" s="368"/>
      <c r="G50" s="368"/>
      <c r="H50" s="368"/>
      <c r="I50" s="369"/>
      <c r="J50" s="377">
        <f>SUM(J46:K49)</f>
        <v>0</v>
      </c>
      <c r="K50" s="378"/>
      <c r="L50" s="137"/>
      <c r="M50" s="137"/>
    </row>
    <row r="51" spans="1:14" s="142" customFormat="1" ht="15">
      <c r="A51" s="75" t="s">
        <v>90</v>
      </c>
      <c r="B51" s="370" t="s">
        <v>157</v>
      </c>
      <c r="C51" s="347"/>
      <c r="D51" s="347"/>
      <c r="E51" s="347"/>
      <c r="F51" s="347"/>
      <c r="G51" s="347"/>
      <c r="H51" s="347"/>
      <c r="I51" s="347"/>
      <c r="J51" s="347"/>
      <c r="K51" s="348"/>
    </row>
    <row r="52" spans="1:14" ht="22.7" customHeight="1">
      <c r="A52" s="131" t="s">
        <v>158</v>
      </c>
      <c r="B52" s="372" t="s">
        <v>159</v>
      </c>
      <c r="C52" s="372"/>
      <c r="D52" s="372"/>
      <c r="E52" s="372"/>
      <c r="F52" s="372"/>
      <c r="G52" s="372"/>
      <c r="H52" s="372"/>
      <c r="I52" s="372"/>
      <c r="J52" s="372"/>
      <c r="K52" s="372"/>
      <c r="L52" s="137"/>
      <c r="M52" s="137"/>
    </row>
    <row r="53" spans="1:14" ht="27.6" customHeight="1">
      <c r="A53" s="373" t="s">
        <v>79</v>
      </c>
      <c r="B53" s="358" t="s">
        <v>160</v>
      </c>
      <c r="C53" s="359"/>
      <c r="D53" s="359"/>
      <c r="E53" s="359"/>
      <c r="F53" s="360"/>
      <c r="G53" s="136" t="s">
        <v>161</v>
      </c>
      <c r="H53" s="136" t="s">
        <v>98</v>
      </c>
      <c r="I53" s="349" t="s">
        <v>162</v>
      </c>
      <c r="J53" s="349"/>
      <c r="K53" s="349"/>
      <c r="L53" s="137"/>
      <c r="M53" s="137"/>
    </row>
    <row r="54" spans="1:14" s="142" customFormat="1" ht="13.35" customHeight="1">
      <c r="A54" s="374"/>
      <c r="B54" s="361"/>
      <c r="C54" s="362"/>
      <c r="D54" s="362"/>
      <c r="E54" s="362"/>
      <c r="F54" s="363"/>
      <c r="G54" s="140" t="s">
        <v>138</v>
      </c>
      <c r="H54" s="140" t="s">
        <v>101</v>
      </c>
      <c r="I54" s="350" t="s">
        <v>88</v>
      </c>
      <c r="J54" s="350"/>
      <c r="K54" s="350"/>
      <c r="L54" s="141"/>
      <c r="M54" s="141"/>
    </row>
    <row r="55" spans="1:14" s="163" customFormat="1" ht="8.1">
      <c r="A55" s="143">
        <v>1</v>
      </c>
      <c r="B55" s="351">
        <v>2</v>
      </c>
      <c r="C55" s="352"/>
      <c r="D55" s="352"/>
      <c r="E55" s="352"/>
      <c r="F55" s="353"/>
      <c r="G55" s="143">
        <v>3</v>
      </c>
      <c r="H55" s="143">
        <v>4</v>
      </c>
      <c r="I55" s="351">
        <v>5</v>
      </c>
      <c r="J55" s="352"/>
      <c r="K55" s="353"/>
      <c r="L55" s="146"/>
      <c r="M55" s="146"/>
    </row>
    <row r="56" spans="1:14">
      <c r="A56" s="164" t="s">
        <v>123</v>
      </c>
      <c r="B56" s="364"/>
      <c r="C56" s="365"/>
      <c r="D56" s="365"/>
      <c r="E56" s="365"/>
      <c r="F56" s="366"/>
      <c r="G56" s="58"/>
      <c r="H56" s="59"/>
      <c r="I56" s="354">
        <f>G56*H56*N56</f>
        <v>0</v>
      </c>
      <c r="J56" s="354"/>
      <c r="K56" s="354"/>
      <c r="L56" s="137"/>
      <c r="M56" s="137"/>
      <c r="N56" s="138">
        <f>IF($A$61="Jā",0,1)</f>
        <v>1</v>
      </c>
    </row>
    <row r="57" spans="1:14">
      <c r="A57" s="164" t="s">
        <v>125</v>
      </c>
      <c r="B57" s="364"/>
      <c r="C57" s="365"/>
      <c r="D57" s="365"/>
      <c r="E57" s="365"/>
      <c r="F57" s="366"/>
      <c r="G57" s="58"/>
      <c r="H57" s="59"/>
      <c r="I57" s="354">
        <f t="shared" ref="I57:I59" si="12">G57*H57*N57</f>
        <v>0</v>
      </c>
      <c r="J57" s="354"/>
      <c r="K57" s="354"/>
      <c r="L57" s="137"/>
      <c r="M57" s="137"/>
      <c r="N57" s="138">
        <f t="shared" ref="N57:N59" si="13">IF($A$61="Jā",0,1)</f>
        <v>1</v>
      </c>
    </row>
    <row r="58" spans="1:14">
      <c r="A58" s="164" t="s">
        <v>127</v>
      </c>
      <c r="B58" s="364"/>
      <c r="C58" s="365"/>
      <c r="D58" s="365"/>
      <c r="E58" s="365"/>
      <c r="F58" s="366"/>
      <c r="G58" s="58"/>
      <c r="H58" s="59"/>
      <c r="I58" s="354">
        <f t="shared" si="12"/>
        <v>0</v>
      </c>
      <c r="J58" s="354"/>
      <c r="K58" s="354"/>
      <c r="L58" s="137"/>
      <c r="M58" s="137"/>
      <c r="N58" s="138">
        <f t="shared" si="13"/>
        <v>1</v>
      </c>
    </row>
    <row r="59" spans="1:14">
      <c r="A59" s="164" t="s">
        <v>142</v>
      </c>
      <c r="B59" s="364"/>
      <c r="C59" s="365"/>
      <c r="D59" s="365"/>
      <c r="E59" s="365"/>
      <c r="F59" s="366"/>
      <c r="G59" s="58"/>
      <c r="H59" s="59"/>
      <c r="I59" s="354">
        <f t="shared" si="12"/>
        <v>0</v>
      </c>
      <c r="J59" s="354"/>
      <c r="K59" s="354"/>
      <c r="L59" s="137"/>
      <c r="M59" s="137"/>
      <c r="N59" s="138">
        <f t="shared" si="13"/>
        <v>1</v>
      </c>
    </row>
    <row r="60" spans="1:14">
      <c r="A60" s="367" t="s">
        <v>163</v>
      </c>
      <c r="B60" s="368"/>
      <c r="C60" s="368"/>
      <c r="D60" s="368"/>
      <c r="E60" s="368"/>
      <c r="F60" s="368"/>
      <c r="G60" s="368"/>
      <c r="H60" s="369"/>
      <c r="I60" s="355">
        <f>SUM(I56:K59)</f>
        <v>0</v>
      </c>
      <c r="J60" s="355"/>
      <c r="K60" s="355"/>
      <c r="L60" s="137"/>
      <c r="M60" s="137"/>
    </row>
    <row r="61" spans="1:14" s="142" customFormat="1" ht="15" customHeight="1">
      <c r="A61" s="75" t="s">
        <v>90</v>
      </c>
      <c r="B61" s="347" t="s">
        <v>164</v>
      </c>
      <c r="C61" s="347"/>
      <c r="D61" s="347"/>
      <c r="E61" s="347"/>
      <c r="F61" s="347"/>
      <c r="G61" s="347"/>
      <c r="H61" s="347"/>
      <c r="I61" s="347"/>
      <c r="J61" s="347"/>
      <c r="K61" s="348"/>
    </row>
  </sheetData>
  <sheetProtection algorithmName="SHA-512" hashValue="uVWR19eXzsRQlSkqmYmjTGsrWCUM0kar6/+079jWzP3F8UXfsOIBhO+lRSWaLB4VRm8378zGnDsMxH9O3jKZbg==" saltValue="tZZukrIsLuPkmM9SEz5PYQ==" spinCount="100000" sheet="1" objects="1" scenarios="1"/>
  <mergeCells count="127">
    <mergeCell ref="H6:I6"/>
    <mergeCell ref="J6:K6"/>
    <mergeCell ref="C7:D7"/>
    <mergeCell ref="E7:F7"/>
    <mergeCell ref="H7:I7"/>
    <mergeCell ref="J7:K7"/>
    <mergeCell ref="B3:K3"/>
    <mergeCell ref="B4:K4"/>
    <mergeCell ref="A5:A6"/>
    <mergeCell ref="C5:D5"/>
    <mergeCell ref="E5:F5"/>
    <mergeCell ref="H5:I5"/>
    <mergeCell ref="J5:K5"/>
    <mergeCell ref="C6:D6"/>
    <mergeCell ref="E6:F6"/>
    <mergeCell ref="A11:A12"/>
    <mergeCell ref="J11:K11"/>
    <mergeCell ref="J12:K12"/>
    <mergeCell ref="J13:K13"/>
    <mergeCell ref="C8:D8"/>
    <mergeCell ref="E8:F8"/>
    <mergeCell ref="H8:I8"/>
    <mergeCell ref="J8:K8"/>
    <mergeCell ref="B10:K10"/>
    <mergeCell ref="B11:D12"/>
    <mergeCell ref="B13:D13"/>
    <mergeCell ref="E13:F13"/>
    <mergeCell ref="E11:F12"/>
    <mergeCell ref="B9:K9"/>
    <mergeCell ref="J14:K14"/>
    <mergeCell ref="J18:K18"/>
    <mergeCell ref="J20:K20"/>
    <mergeCell ref="A19:I19"/>
    <mergeCell ref="J19:K19"/>
    <mergeCell ref="B18:D18"/>
    <mergeCell ref="B14:D14"/>
    <mergeCell ref="B20:D20"/>
    <mergeCell ref="B21:D21"/>
    <mergeCell ref="E14:F14"/>
    <mergeCell ref="E18:F18"/>
    <mergeCell ref="E20:F20"/>
    <mergeCell ref="E21:F21"/>
    <mergeCell ref="B15:D15"/>
    <mergeCell ref="E15:F15"/>
    <mergeCell ref="J15:K15"/>
    <mergeCell ref="B17:D17"/>
    <mergeCell ref="E17:F17"/>
    <mergeCell ref="J17:K17"/>
    <mergeCell ref="B16:D16"/>
    <mergeCell ref="E16:F16"/>
    <mergeCell ref="J16:K16"/>
    <mergeCell ref="B28:C28"/>
    <mergeCell ref="J28:K28"/>
    <mergeCell ref="B29:C29"/>
    <mergeCell ref="J29:K29"/>
    <mergeCell ref="B30:C30"/>
    <mergeCell ref="J30:K30"/>
    <mergeCell ref="B31:H31"/>
    <mergeCell ref="J31:K31"/>
    <mergeCell ref="J21:K21"/>
    <mergeCell ref="A22:I22"/>
    <mergeCell ref="J22:K22"/>
    <mergeCell ref="B24:K24"/>
    <mergeCell ref="B23:K23"/>
    <mergeCell ref="A25:A26"/>
    <mergeCell ref="B25:C26"/>
    <mergeCell ref="E25:F25"/>
    <mergeCell ref="J25:K25"/>
    <mergeCell ref="J26:K26"/>
    <mergeCell ref="B27:C27"/>
    <mergeCell ref="J27:K27"/>
    <mergeCell ref="B35:D35"/>
    <mergeCell ref="J35:K35"/>
    <mergeCell ref="B36:D36"/>
    <mergeCell ref="J36:K36"/>
    <mergeCell ref="B37:D37"/>
    <mergeCell ref="J37:K37"/>
    <mergeCell ref="B32:K32"/>
    <mergeCell ref="A33:A34"/>
    <mergeCell ref="B33:D34"/>
    <mergeCell ref="J33:K33"/>
    <mergeCell ref="J34:K34"/>
    <mergeCell ref="A1:K1"/>
    <mergeCell ref="B52:K52"/>
    <mergeCell ref="A53:A54"/>
    <mergeCell ref="J45:K45"/>
    <mergeCell ref="J46:K46"/>
    <mergeCell ref="J47:K47"/>
    <mergeCell ref="J48:K48"/>
    <mergeCell ref="J49:K49"/>
    <mergeCell ref="A50:I50"/>
    <mergeCell ref="J50:K50"/>
    <mergeCell ref="B42:K42"/>
    <mergeCell ref="A43:A44"/>
    <mergeCell ref="I43:I44"/>
    <mergeCell ref="J43:K43"/>
    <mergeCell ref="J44:K44"/>
    <mergeCell ref="B43:C44"/>
    <mergeCell ref="B45:C45"/>
    <mergeCell ref="B46:C46"/>
    <mergeCell ref="B38:D38"/>
    <mergeCell ref="J38:K38"/>
    <mergeCell ref="B39:D39"/>
    <mergeCell ref="J39:K39"/>
    <mergeCell ref="A40:I40"/>
    <mergeCell ref="J40:K40"/>
    <mergeCell ref="B41:K41"/>
    <mergeCell ref="B61:K61"/>
    <mergeCell ref="I53:K53"/>
    <mergeCell ref="I54:K54"/>
    <mergeCell ref="I55:K55"/>
    <mergeCell ref="I56:K56"/>
    <mergeCell ref="I57:K57"/>
    <mergeCell ref="I58:K58"/>
    <mergeCell ref="I59:K59"/>
    <mergeCell ref="I60:K60"/>
    <mergeCell ref="B47:C47"/>
    <mergeCell ref="B48:C48"/>
    <mergeCell ref="B49:C49"/>
    <mergeCell ref="B53:F54"/>
    <mergeCell ref="B55:F55"/>
    <mergeCell ref="B56:F56"/>
    <mergeCell ref="B57:F57"/>
    <mergeCell ref="B58:F58"/>
    <mergeCell ref="B59:F59"/>
    <mergeCell ref="A60:H60"/>
    <mergeCell ref="B51:K51"/>
  </mergeCells>
  <conditionalFormatting sqref="A9">
    <cfRule type="expression" dxfId="224" priority="20">
      <formula>A9="Jā"</formula>
    </cfRule>
  </conditionalFormatting>
  <conditionalFormatting sqref="A23">
    <cfRule type="expression" dxfId="223" priority="19">
      <formula>A23="Jā"</formula>
    </cfRule>
  </conditionalFormatting>
  <conditionalFormatting sqref="A31">
    <cfRule type="expression" dxfId="222" priority="18">
      <formula>A31="Jā"</formula>
    </cfRule>
  </conditionalFormatting>
  <conditionalFormatting sqref="A41">
    <cfRule type="expression" dxfId="221" priority="17">
      <formula>A41="Jā"</formula>
    </cfRule>
  </conditionalFormatting>
  <conditionalFormatting sqref="A51">
    <cfRule type="expression" dxfId="220" priority="16">
      <formula>A51="Jā"</formula>
    </cfRule>
  </conditionalFormatting>
  <conditionalFormatting sqref="A61">
    <cfRule type="expression" dxfId="219" priority="15">
      <formula>A61="Jā"</formula>
    </cfRule>
  </conditionalFormatting>
  <conditionalFormatting sqref="B8">
    <cfRule type="expression" dxfId="218" priority="74">
      <formula>$B$8=""</formula>
    </cfRule>
  </conditionalFormatting>
  <conditionalFormatting sqref="B46:B49">
    <cfRule type="expression" dxfId="217" priority="35">
      <formula>B46=""</formula>
    </cfRule>
  </conditionalFormatting>
  <conditionalFormatting sqref="B56:B59">
    <cfRule type="expression" dxfId="216" priority="32">
      <formula>B56=""</formula>
    </cfRule>
  </conditionalFormatting>
  <conditionalFormatting sqref="B14:D18 G14:I18 B20:D21 G20:I21">
    <cfRule type="expression" dxfId="215" priority="9">
      <formula>$A$23="Jā"</formula>
    </cfRule>
  </conditionalFormatting>
  <conditionalFormatting sqref="B36:D36">
    <cfRule type="expression" dxfId="214" priority="67">
      <formula>$B$36=""</formula>
    </cfRule>
  </conditionalFormatting>
  <conditionalFormatting sqref="B37:D37">
    <cfRule type="expression" dxfId="213" priority="66">
      <formula>$B$37=""</formula>
    </cfRule>
  </conditionalFormatting>
  <conditionalFormatting sqref="B38:D38">
    <cfRule type="expression" dxfId="212" priority="65">
      <formula>$B$38=""</formula>
    </cfRule>
  </conditionalFormatting>
  <conditionalFormatting sqref="B39:D39">
    <cfRule type="expression" dxfId="211" priority="64">
      <formula>$B$39=""</formula>
    </cfRule>
  </conditionalFormatting>
  <conditionalFormatting sqref="B8:I8">
    <cfRule type="expression" dxfId="210" priority="8">
      <formula>$O$8=0</formula>
    </cfRule>
  </conditionalFormatting>
  <conditionalFormatting sqref="B36:I39">
    <cfRule type="expression" dxfId="209" priority="7">
      <formula>$N$36=0</formula>
    </cfRule>
  </conditionalFormatting>
  <conditionalFormatting sqref="B46:I49">
    <cfRule type="expression" dxfId="208" priority="5">
      <formula>$N$46=0</formula>
    </cfRule>
  </conditionalFormatting>
  <conditionalFormatting sqref="B28:K30">
    <cfRule type="expression" dxfId="207" priority="10">
      <formula>$A$31="Jā"</formula>
    </cfRule>
  </conditionalFormatting>
  <conditionalFormatting sqref="B56:K59">
    <cfRule type="expression" dxfId="206" priority="6">
      <formula>$N$56=0</formula>
    </cfRule>
  </conditionalFormatting>
  <conditionalFormatting sqref="C8:F8">
    <cfRule type="expression" dxfId="205" priority="72">
      <formula>C8=""</formula>
    </cfRule>
  </conditionalFormatting>
  <conditionalFormatting sqref="D28">
    <cfRule type="expression" dxfId="204" priority="14">
      <formula>$D$28=""</formula>
    </cfRule>
  </conditionalFormatting>
  <conditionalFormatting sqref="D29">
    <cfRule type="expression" dxfId="203" priority="13">
      <formula>$D$29=""</formula>
    </cfRule>
  </conditionalFormatting>
  <conditionalFormatting sqref="D30">
    <cfRule type="expression" dxfId="202" priority="12">
      <formula>$D$30=""</formula>
    </cfRule>
  </conditionalFormatting>
  <conditionalFormatting sqref="D46:F49">
    <cfRule type="expression" dxfId="201" priority="34">
      <formula>D46=""</formula>
    </cfRule>
  </conditionalFormatting>
  <conditionalFormatting sqref="E36">
    <cfRule type="expression" dxfId="200" priority="63">
      <formula>$E$36=""</formula>
    </cfRule>
  </conditionalFormatting>
  <conditionalFormatting sqref="E37">
    <cfRule type="expression" dxfId="199" priority="62">
      <formula>$E$37=""</formula>
    </cfRule>
  </conditionalFormatting>
  <conditionalFormatting sqref="E38">
    <cfRule type="expression" dxfId="198" priority="61">
      <formula>$E$38=""</formula>
    </cfRule>
  </conditionalFormatting>
  <conditionalFormatting sqref="E39">
    <cfRule type="expression" dxfId="197" priority="60">
      <formula>$E$39=""</formula>
    </cfRule>
  </conditionalFormatting>
  <conditionalFormatting sqref="E8:F8">
    <cfRule type="expression" dxfId="196" priority="68">
      <formula>$B$8*$C$8*8760/1000&lt;$E$8</formula>
    </cfRule>
  </conditionalFormatting>
  <conditionalFormatting sqref="F36">
    <cfRule type="expression" dxfId="195" priority="59">
      <formula>$F$36=""</formula>
    </cfRule>
  </conditionalFormatting>
  <conditionalFormatting sqref="F37">
    <cfRule type="expression" dxfId="194" priority="58">
      <formula>$F$37=""</formula>
    </cfRule>
  </conditionalFormatting>
  <conditionalFormatting sqref="F38">
    <cfRule type="expression" dxfId="193" priority="57">
      <formula>$F$38=""</formula>
    </cfRule>
  </conditionalFormatting>
  <conditionalFormatting sqref="F39">
    <cfRule type="expression" dxfId="192" priority="56">
      <formula>$F$39=""</formula>
    </cfRule>
  </conditionalFormatting>
  <conditionalFormatting sqref="G8">
    <cfRule type="expression" dxfId="191" priority="73">
      <formula>$G$8=""</formula>
    </cfRule>
  </conditionalFormatting>
  <conditionalFormatting sqref="G36">
    <cfRule type="expression" dxfId="190" priority="55">
      <formula>$G$36=""</formula>
    </cfRule>
    <cfRule type="expression" dxfId="189" priority="54">
      <formula>$E$36*1000/$F$36&lt;$G$36</formula>
    </cfRule>
  </conditionalFormatting>
  <conditionalFormatting sqref="G37">
    <cfRule type="expression" dxfId="188" priority="53">
      <formula>$G$37=""</formula>
    </cfRule>
    <cfRule type="expression" dxfId="187" priority="52">
      <formula>$E$37*1000/$F$37&lt;$G$37</formula>
    </cfRule>
  </conditionalFormatting>
  <conditionalFormatting sqref="G38">
    <cfRule type="expression" dxfId="186" priority="51">
      <formula>$G$38=""</formula>
    </cfRule>
    <cfRule type="expression" dxfId="185" priority="50">
      <formula>$E$38*1000/$F$38&lt;$G$38</formula>
    </cfRule>
  </conditionalFormatting>
  <conditionalFormatting sqref="G39">
    <cfRule type="expression" dxfId="184" priority="49">
      <formula>$G$39=""</formula>
    </cfRule>
    <cfRule type="expression" dxfId="183" priority="48">
      <formula>$E$39*1000/$F$39&lt;$G$39</formula>
    </cfRule>
  </conditionalFormatting>
  <conditionalFormatting sqref="G56:H59">
    <cfRule type="expression" dxfId="182" priority="31">
      <formula>G56=""</formula>
    </cfRule>
  </conditionalFormatting>
  <conditionalFormatting sqref="G14:I18 G20:I21">
    <cfRule type="expression" dxfId="181" priority="69">
      <formula>G14=""</formula>
    </cfRule>
  </conditionalFormatting>
  <conditionalFormatting sqref="H36">
    <cfRule type="expression" dxfId="180" priority="47">
      <formula>$H$36=""</formula>
    </cfRule>
    <cfRule type="expression" dxfId="179" priority="46">
      <formula>$F$36&lt;$H$36</formula>
    </cfRule>
  </conditionalFormatting>
  <conditionalFormatting sqref="H37">
    <cfRule type="expression" dxfId="178" priority="44">
      <formula>$F$37&lt;$H$37</formula>
    </cfRule>
    <cfRule type="expression" dxfId="177" priority="45">
      <formula>$H$37=""</formula>
    </cfRule>
  </conditionalFormatting>
  <conditionalFormatting sqref="H38">
    <cfRule type="expression" dxfId="176" priority="42">
      <formula>$F$38&lt;$H$38</formula>
    </cfRule>
    <cfRule type="expression" dxfId="175" priority="43">
      <formula>$H$38=""</formula>
    </cfRule>
  </conditionalFormatting>
  <conditionalFormatting sqref="H39">
    <cfRule type="expression" dxfId="174" priority="40">
      <formula>$F$39&lt;$H$39</formula>
    </cfRule>
    <cfRule type="expression" dxfId="173" priority="41">
      <formula>$H$39=""</formula>
    </cfRule>
  </conditionalFormatting>
  <conditionalFormatting sqref="H8:I8">
    <cfRule type="expression" dxfId="172" priority="71">
      <formula>H8=""</formula>
    </cfRule>
  </conditionalFormatting>
  <conditionalFormatting sqref="H46:I49">
    <cfRule type="expression" dxfId="171" priority="33">
      <formula>H46=""</formula>
    </cfRule>
  </conditionalFormatting>
  <conditionalFormatting sqref="I28:I30 B14:B18 B20:B21">
    <cfRule type="expression" dxfId="170" priority="70">
      <formula>B14=""</formula>
    </cfRule>
  </conditionalFormatting>
  <conditionalFormatting sqref="I36">
    <cfRule type="expression" dxfId="169" priority="4">
      <formula>$I$36&gt;8760</formula>
    </cfRule>
    <cfRule type="expression" dxfId="168" priority="39">
      <formula>$I$36=""</formula>
    </cfRule>
  </conditionalFormatting>
  <conditionalFormatting sqref="I37">
    <cfRule type="expression" dxfId="167" priority="3">
      <formula>$I$37&gt;8760</formula>
    </cfRule>
    <cfRule type="expression" dxfId="166" priority="38">
      <formula>$I$37=""</formula>
    </cfRule>
  </conditionalFormatting>
  <conditionalFormatting sqref="I38">
    <cfRule type="expression" dxfId="165" priority="37">
      <formula>$I$38=""</formula>
    </cfRule>
    <cfRule type="expression" dxfId="164" priority="2">
      <formula>$I$38&gt;8760</formula>
    </cfRule>
  </conditionalFormatting>
  <conditionalFormatting sqref="I39">
    <cfRule type="expression" dxfId="163" priority="1">
      <formula>$I$39&gt;8760</formula>
    </cfRule>
    <cfRule type="expression" dxfId="162" priority="36">
      <formula>$I$39=""</formula>
    </cfRule>
  </conditionalFormatting>
  <conditionalFormatting sqref="I56:K59">
    <cfRule type="expression" dxfId="161" priority="21">
      <formula>$A$61="Jā"</formula>
    </cfRule>
  </conditionalFormatting>
  <conditionalFormatting sqref="I60:K60">
    <cfRule type="expression" dxfId="160" priority="22">
      <formula>$A$61="Jā"</formula>
    </cfRule>
  </conditionalFormatting>
  <conditionalFormatting sqref="J8:K8">
    <cfRule type="expression" dxfId="159" priority="27">
      <formula>$A$9="Jā"</formula>
    </cfRule>
  </conditionalFormatting>
  <conditionalFormatting sqref="J14:K18 J20:K21">
    <cfRule type="expression" dxfId="158" priority="28">
      <formula>$A$23="Jā"</formula>
    </cfRule>
  </conditionalFormatting>
  <conditionalFormatting sqref="J19:K19">
    <cfRule type="expression" dxfId="157" priority="30">
      <formula>$A$23="Jā"</formula>
    </cfRule>
  </conditionalFormatting>
  <conditionalFormatting sqref="J22:K22">
    <cfRule type="expression" dxfId="156" priority="29">
      <formula>$A$23="Jā"</formula>
    </cfRule>
  </conditionalFormatting>
  <conditionalFormatting sqref="J31:K31">
    <cfRule type="expression" dxfId="155" priority="11">
      <formula>$A$31="Jā"</formula>
    </cfRule>
  </conditionalFormatting>
  <conditionalFormatting sqref="J36:K39">
    <cfRule type="expression" dxfId="154" priority="23">
      <formula>$A$41="Jā"</formula>
    </cfRule>
  </conditionalFormatting>
  <conditionalFormatting sqref="J40:K40">
    <cfRule type="expression" dxfId="153" priority="24">
      <formula>$A$41="Jā"</formula>
    </cfRule>
  </conditionalFormatting>
  <conditionalFormatting sqref="J46:K49">
    <cfRule type="expression" dxfId="152" priority="25">
      <formula>$A$51="Jā"</formula>
    </cfRule>
  </conditionalFormatting>
  <conditionalFormatting sqref="J50:K50">
    <cfRule type="expression" dxfId="151" priority="26">
      <formula>$A$51="Jā"</formula>
    </cfRule>
  </conditionalFormatting>
  <dataValidations count="3">
    <dataValidation type="list" allowBlank="1" showInputMessage="1" showErrorMessage="1" sqref="A23 A51 A9 A41 A31 A61" xr:uid="{EC672028-B6EF-420B-8738-4D025FF46443}">
      <formula1>"Jā,Nē"</formula1>
    </dataValidation>
    <dataValidation type="list" allowBlank="1" showInputMessage="1" showErrorMessage="1" sqref="G28:G30" xr:uid="{52A31945-B7C3-4D13-B400-03B6C9BE0663}">
      <formula1>$R$23:$R$32</formula1>
    </dataValidation>
    <dataValidation type="list" allowBlank="1" showInputMessage="1" showErrorMessage="1" sqref="B28:C30" xr:uid="{A62A1A61-D599-4BDD-93E0-BBE2D9569967}">
      <formula1>$P$23:$P$34</formula1>
    </dataValidation>
  </dataValidations>
  <printOptions horizontalCentered="1"/>
  <pageMargins left="0.31496062992125984" right="0.31496062992125984" top="0.74803149606299213" bottom="0.55118110236220474" header="0.31496062992125984" footer="0.31496062992125984"/>
  <pageSetup orientation="landscape" r:id="rId1"/>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142"/>
  <sheetViews>
    <sheetView showGridLines="0" view="pageBreakPreview" zoomScaleNormal="100" zoomScaleSheetLayoutView="100" workbookViewId="0">
      <selection activeCell="J9" sqref="J9"/>
    </sheetView>
  </sheetViews>
  <sheetFormatPr defaultColWidth="11.42578125" defaultRowHeight="14.1"/>
  <cols>
    <col min="1" max="1" width="5.140625" style="88" customWidth="1"/>
    <col min="2" max="2" width="18.140625" style="88" bestFit="1" customWidth="1"/>
    <col min="3" max="3" width="13.85546875" style="88" bestFit="1" customWidth="1"/>
    <col min="4" max="4" width="14.42578125" style="88" customWidth="1"/>
    <col min="5" max="5" width="14.140625" style="88" customWidth="1"/>
    <col min="6" max="6" width="12.140625" style="88" customWidth="1"/>
    <col min="7" max="7" width="14.42578125" style="88" customWidth="1"/>
    <col min="8" max="8" width="13.42578125" style="88" customWidth="1"/>
    <col min="9" max="9" width="11.5703125" style="88" customWidth="1"/>
    <col min="10" max="10" width="11.42578125" style="88" customWidth="1"/>
    <col min="11" max="11" width="14.5703125" style="88" customWidth="1"/>
    <col min="12" max="16384" width="11.42578125" style="88"/>
  </cols>
  <sheetData>
    <row r="1" spans="1:11" s="127" customFormat="1" ht="39.6" customHeight="1">
      <c r="A1" s="497" t="s">
        <v>165</v>
      </c>
      <c r="B1" s="498"/>
      <c r="C1" s="498"/>
      <c r="D1" s="498"/>
      <c r="E1" s="498"/>
      <c r="F1" s="498"/>
      <c r="G1" s="498"/>
      <c r="H1" s="498"/>
      <c r="I1" s="498"/>
      <c r="J1" s="498"/>
      <c r="K1" s="499"/>
    </row>
    <row r="2" spans="1:11" s="168" customFormat="1" ht="22.5">
      <c r="A2" s="166" t="s">
        <v>166</v>
      </c>
      <c r="B2" s="82" t="s">
        <v>90</v>
      </c>
      <c r="C2" s="503" t="s">
        <v>167</v>
      </c>
      <c r="D2" s="504"/>
      <c r="E2" s="504"/>
      <c r="F2" s="504"/>
      <c r="G2" s="504"/>
      <c r="H2" s="504"/>
      <c r="I2" s="504"/>
      <c r="J2" s="504"/>
      <c r="K2" s="505"/>
    </row>
    <row r="3" spans="1:11" s="168" customFormat="1" ht="19.7" customHeight="1">
      <c r="A3" s="169"/>
      <c r="B3" s="506" t="s">
        <v>168</v>
      </c>
      <c r="C3" s="506"/>
      <c r="D3" s="170"/>
      <c r="E3" s="170"/>
      <c r="F3" s="170"/>
      <c r="G3" s="170"/>
      <c r="H3" s="170"/>
      <c r="I3" s="170"/>
      <c r="J3" s="170"/>
      <c r="K3" s="167"/>
    </row>
    <row r="4" spans="1:11" ht="15">
      <c r="A4" s="418" t="s">
        <v>169</v>
      </c>
      <c r="B4" s="419"/>
      <c r="C4" s="419"/>
      <c r="D4" s="419"/>
      <c r="E4" s="419"/>
      <c r="F4" s="419"/>
      <c r="G4" s="419"/>
      <c r="H4" s="419"/>
      <c r="I4" s="419"/>
      <c r="J4" s="419"/>
      <c r="K4" s="420"/>
    </row>
    <row r="5" spans="1:11" ht="15.6">
      <c r="A5" s="500" t="s">
        <v>170</v>
      </c>
      <c r="B5" s="501"/>
      <c r="C5" s="501"/>
      <c r="D5" s="501"/>
      <c r="E5" s="501"/>
      <c r="F5" s="501"/>
      <c r="G5" s="501"/>
      <c r="H5" s="501"/>
      <c r="I5" s="501"/>
      <c r="J5" s="501"/>
      <c r="K5" s="502"/>
    </row>
    <row r="6" spans="1:11" ht="83.45" customHeight="1">
      <c r="A6" s="476" t="s">
        <v>79</v>
      </c>
      <c r="B6" s="477" t="s">
        <v>171</v>
      </c>
      <c r="C6" s="478"/>
      <c r="D6" s="121" t="s">
        <v>172</v>
      </c>
      <c r="E6" s="121" t="s">
        <v>173</v>
      </c>
      <c r="F6" s="121" t="s">
        <v>174</v>
      </c>
      <c r="G6" s="121" t="s">
        <v>175</v>
      </c>
      <c r="H6" s="121" t="s">
        <v>176</v>
      </c>
      <c r="I6" s="121" t="s">
        <v>177</v>
      </c>
      <c r="J6" s="121" t="s">
        <v>178</v>
      </c>
      <c r="K6" s="121" t="s">
        <v>179</v>
      </c>
    </row>
    <row r="7" spans="1:11">
      <c r="A7" s="476"/>
      <c r="B7" s="479"/>
      <c r="C7" s="480"/>
      <c r="D7" s="121" t="s">
        <v>180</v>
      </c>
      <c r="E7" s="121" t="s">
        <v>181</v>
      </c>
      <c r="F7" s="121" t="s">
        <v>182</v>
      </c>
      <c r="G7" s="121" t="s">
        <v>183</v>
      </c>
      <c r="H7" s="171" t="s">
        <v>184</v>
      </c>
      <c r="I7" s="121" t="s">
        <v>185</v>
      </c>
      <c r="J7" s="121" t="s">
        <v>186</v>
      </c>
      <c r="K7" s="171" t="s">
        <v>187</v>
      </c>
    </row>
    <row r="8" spans="1:11" s="173" customFormat="1" ht="8.1">
      <c r="A8" s="172">
        <v>1</v>
      </c>
      <c r="B8" s="172">
        <v>2</v>
      </c>
      <c r="C8" s="172">
        <v>3</v>
      </c>
      <c r="D8" s="172">
        <v>4</v>
      </c>
      <c r="E8" s="172">
        <v>5</v>
      </c>
      <c r="F8" s="172">
        <v>6</v>
      </c>
      <c r="G8" s="172">
        <v>7</v>
      </c>
      <c r="H8" s="172">
        <v>8</v>
      </c>
      <c r="I8" s="172">
        <v>9</v>
      </c>
      <c r="J8" s="172">
        <v>10</v>
      </c>
      <c r="K8" s="172">
        <v>11</v>
      </c>
    </row>
    <row r="9" spans="1:11" ht="14.45" customHeight="1">
      <c r="A9" s="481" t="s">
        <v>123</v>
      </c>
      <c r="B9" s="483" t="s">
        <v>188</v>
      </c>
      <c r="C9" s="174" t="s">
        <v>189</v>
      </c>
      <c r="D9" s="60"/>
      <c r="E9" s="62"/>
      <c r="F9" s="61"/>
      <c r="G9" s="62"/>
      <c r="H9" s="47">
        <f>IFERROR(IF(D9*E9+F9*G9&gt;0,D9*E9+F9*G9,0),0)</f>
        <v>0</v>
      </c>
      <c r="I9" s="61"/>
      <c r="J9" s="60"/>
      <c r="K9" s="175">
        <f>IFERROR(IF(H9="","",H9*I9*J9/1000),0)</f>
        <v>0</v>
      </c>
    </row>
    <row r="10" spans="1:11" ht="14.45" customHeight="1">
      <c r="A10" s="482"/>
      <c r="B10" s="484"/>
      <c r="C10" s="174" t="s">
        <v>190</v>
      </c>
      <c r="D10" s="60"/>
      <c r="E10" s="62"/>
      <c r="F10" s="61"/>
      <c r="G10" s="62"/>
      <c r="H10" s="47">
        <f t="shared" ref="H10:H42" si="0">IFERROR(IF(D10*E10+F10*G10&gt;0,D10*E10+F10*G10,0),0)</f>
        <v>0</v>
      </c>
      <c r="I10" s="176">
        <f>IF(D10&gt;0,$I$9,IF(F10&gt;0,$I$9,0))</f>
        <v>0</v>
      </c>
      <c r="J10" s="63">
        <f>IF(H10=0,0,$J$9)</f>
        <v>0</v>
      </c>
      <c r="K10" s="175">
        <f t="shared" ref="K10:K42" si="1">IFERROR(IF(H10="","",H10*I10*J10/1000),0)</f>
        <v>0</v>
      </c>
    </row>
    <row r="11" spans="1:11">
      <c r="A11" s="482"/>
      <c r="B11" s="484"/>
      <c r="C11" s="174" t="s">
        <v>191</v>
      </c>
      <c r="D11" s="60"/>
      <c r="E11" s="62"/>
      <c r="F11" s="61"/>
      <c r="G11" s="62"/>
      <c r="H11" s="47">
        <f t="shared" si="0"/>
        <v>0</v>
      </c>
      <c r="I11" s="176">
        <f t="shared" ref="I11:I42" si="2">IF(D11&gt;0,$I$9,IF(F11&gt;0,$I$9,0))</f>
        <v>0</v>
      </c>
      <c r="J11" s="63">
        <f t="shared" ref="J11:J24" si="3">IF(H11=0,0,$J$9)</f>
        <v>0</v>
      </c>
      <c r="K11" s="175">
        <f t="shared" si="1"/>
        <v>0</v>
      </c>
    </row>
    <row r="12" spans="1:11">
      <c r="A12" s="482"/>
      <c r="B12" s="484"/>
      <c r="C12" s="174" t="s">
        <v>192</v>
      </c>
      <c r="D12" s="60"/>
      <c r="E12" s="62"/>
      <c r="F12" s="61"/>
      <c r="G12" s="62"/>
      <c r="H12" s="47">
        <f t="shared" si="0"/>
        <v>0</v>
      </c>
      <c r="I12" s="176">
        <f t="shared" si="2"/>
        <v>0</v>
      </c>
      <c r="J12" s="63">
        <f t="shared" si="3"/>
        <v>0</v>
      </c>
      <c r="K12" s="175">
        <f t="shared" si="1"/>
        <v>0</v>
      </c>
    </row>
    <row r="13" spans="1:11">
      <c r="A13" s="482"/>
      <c r="B13" s="484"/>
      <c r="C13" s="174" t="s">
        <v>193</v>
      </c>
      <c r="D13" s="60"/>
      <c r="E13" s="62"/>
      <c r="F13" s="61"/>
      <c r="G13" s="62"/>
      <c r="H13" s="47">
        <f t="shared" si="0"/>
        <v>0</v>
      </c>
      <c r="I13" s="176">
        <f t="shared" si="2"/>
        <v>0</v>
      </c>
      <c r="J13" s="63">
        <f t="shared" si="3"/>
        <v>0</v>
      </c>
      <c r="K13" s="175">
        <f t="shared" si="1"/>
        <v>0</v>
      </c>
    </row>
    <row r="14" spans="1:11">
      <c r="A14" s="482"/>
      <c r="B14" s="484"/>
      <c r="C14" s="174" t="s">
        <v>194</v>
      </c>
      <c r="D14" s="60"/>
      <c r="E14" s="62"/>
      <c r="F14" s="61"/>
      <c r="G14" s="62"/>
      <c r="H14" s="47">
        <f t="shared" ref="H14" si="4">IFERROR(IF(D14*E14+F14*G14&gt;0,D14*E14+F14*G14,0),0)</f>
        <v>0</v>
      </c>
      <c r="I14" s="176">
        <f t="shared" si="2"/>
        <v>0</v>
      </c>
      <c r="J14" s="63">
        <f t="shared" si="3"/>
        <v>0</v>
      </c>
      <c r="K14" s="175">
        <f t="shared" ref="K14" si="5">IFERROR(IF(H14="","",H14*I14*J14/1000),0)</f>
        <v>0</v>
      </c>
    </row>
    <row r="15" spans="1:11">
      <c r="A15" s="482"/>
      <c r="B15" s="484"/>
      <c r="C15" s="174" t="s">
        <v>195</v>
      </c>
      <c r="D15" s="60"/>
      <c r="E15" s="62"/>
      <c r="F15" s="61"/>
      <c r="G15" s="62"/>
      <c r="H15" s="47">
        <f t="shared" ref="H15:H17" si="6">IFERROR(IF(D15*E15+F15*G15&gt;0,D15*E15+F15*G15,0),0)</f>
        <v>0</v>
      </c>
      <c r="I15" s="176">
        <f t="shared" si="2"/>
        <v>0</v>
      </c>
      <c r="J15" s="63">
        <f t="shared" si="3"/>
        <v>0</v>
      </c>
      <c r="K15" s="175">
        <f t="shared" ref="K15:K17" si="7">IFERROR(IF(H15="","",H15*I15*J15/1000),0)</f>
        <v>0</v>
      </c>
    </row>
    <row r="16" spans="1:11">
      <c r="A16" s="482"/>
      <c r="B16" s="484"/>
      <c r="C16" s="174" t="s">
        <v>196</v>
      </c>
      <c r="D16" s="60"/>
      <c r="E16" s="62"/>
      <c r="F16" s="61"/>
      <c r="G16" s="62"/>
      <c r="H16" s="47">
        <f t="shared" si="6"/>
        <v>0</v>
      </c>
      <c r="I16" s="176">
        <f t="shared" si="2"/>
        <v>0</v>
      </c>
      <c r="J16" s="63">
        <f t="shared" si="3"/>
        <v>0</v>
      </c>
      <c r="K16" s="175">
        <f t="shared" si="7"/>
        <v>0</v>
      </c>
    </row>
    <row r="17" spans="1:11">
      <c r="A17" s="482"/>
      <c r="B17" s="484"/>
      <c r="C17" s="174" t="s">
        <v>197</v>
      </c>
      <c r="D17" s="60"/>
      <c r="E17" s="62"/>
      <c r="F17" s="61"/>
      <c r="G17" s="62"/>
      <c r="H17" s="47">
        <f t="shared" si="6"/>
        <v>0</v>
      </c>
      <c r="I17" s="176">
        <f t="shared" si="2"/>
        <v>0</v>
      </c>
      <c r="J17" s="63">
        <f t="shared" si="3"/>
        <v>0</v>
      </c>
      <c r="K17" s="175">
        <f t="shared" si="7"/>
        <v>0</v>
      </c>
    </row>
    <row r="18" spans="1:11">
      <c r="A18" s="482"/>
      <c r="B18" s="484"/>
      <c r="C18" s="174" t="s">
        <v>198</v>
      </c>
      <c r="D18" s="60"/>
      <c r="E18" s="62"/>
      <c r="F18" s="61"/>
      <c r="G18" s="62"/>
      <c r="H18" s="47">
        <f t="shared" si="0"/>
        <v>0</v>
      </c>
      <c r="I18" s="176">
        <f t="shared" si="2"/>
        <v>0</v>
      </c>
      <c r="J18" s="63">
        <f t="shared" si="3"/>
        <v>0</v>
      </c>
      <c r="K18" s="175">
        <f t="shared" si="1"/>
        <v>0</v>
      </c>
    </row>
    <row r="19" spans="1:11">
      <c r="A19" s="485" t="s">
        <v>125</v>
      </c>
      <c r="B19" s="483" t="s">
        <v>199</v>
      </c>
      <c r="C19" s="174" t="s">
        <v>189</v>
      </c>
      <c r="D19" s="60"/>
      <c r="E19" s="62"/>
      <c r="F19" s="61"/>
      <c r="G19" s="62"/>
      <c r="H19" s="47">
        <f t="shared" si="0"/>
        <v>0</v>
      </c>
      <c r="I19" s="176">
        <f t="shared" si="2"/>
        <v>0</v>
      </c>
      <c r="J19" s="63">
        <f t="shared" si="3"/>
        <v>0</v>
      </c>
      <c r="K19" s="175">
        <f t="shared" si="1"/>
        <v>0</v>
      </c>
    </row>
    <row r="20" spans="1:11">
      <c r="A20" s="486"/>
      <c r="B20" s="484"/>
      <c r="C20" s="174" t="s">
        <v>190</v>
      </c>
      <c r="D20" s="60"/>
      <c r="E20" s="62"/>
      <c r="F20" s="61"/>
      <c r="G20" s="62"/>
      <c r="H20" s="47">
        <f t="shared" si="0"/>
        <v>0</v>
      </c>
      <c r="I20" s="176">
        <f t="shared" si="2"/>
        <v>0</v>
      </c>
      <c r="J20" s="63">
        <f t="shared" si="3"/>
        <v>0</v>
      </c>
      <c r="K20" s="175">
        <f t="shared" si="1"/>
        <v>0</v>
      </c>
    </row>
    <row r="21" spans="1:11">
      <c r="A21" s="486"/>
      <c r="B21" s="484"/>
      <c r="C21" s="174" t="s">
        <v>191</v>
      </c>
      <c r="D21" s="60"/>
      <c r="E21" s="62"/>
      <c r="F21" s="61"/>
      <c r="G21" s="62"/>
      <c r="H21" s="47">
        <f t="shared" ref="H21" si="8">IFERROR(IF(D21*E21+F21*G21&gt;0,D21*E21+F21*G21,0),0)</f>
        <v>0</v>
      </c>
      <c r="I21" s="176">
        <f t="shared" si="2"/>
        <v>0</v>
      </c>
      <c r="J21" s="63">
        <f t="shared" si="3"/>
        <v>0</v>
      </c>
      <c r="K21" s="175">
        <f t="shared" ref="K21" si="9">IFERROR(IF(H21="","",H21*I21*J21/1000),0)</f>
        <v>0</v>
      </c>
    </row>
    <row r="22" spans="1:11">
      <c r="A22" s="486"/>
      <c r="B22" s="484"/>
      <c r="C22" s="174" t="s">
        <v>192</v>
      </c>
      <c r="D22" s="60"/>
      <c r="E22" s="62"/>
      <c r="F22" s="61"/>
      <c r="G22" s="62"/>
      <c r="H22" s="47">
        <f t="shared" si="0"/>
        <v>0</v>
      </c>
      <c r="I22" s="176">
        <f t="shared" si="2"/>
        <v>0</v>
      </c>
      <c r="J22" s="63">
        <f t="shared" si="3"/>
        <v>0</v>
      </c>
      <c r="K22" s="175">
        <f t="shared" si="1"/>
        <v>0</v>
      </c>
    </row>
    <row r="23" spans="1:11">
      <c r="A23" s="486"/>
      <c r="B23" s="484"/>
      <c r="C23" s="174" t="s">
        <v>193</v>
      </c>
      <c r="D23" s="60"/>
      <c r="E23" s="62"/>
      <c r="F23" s="61"/>
      <c r="G23" s="62"/>
      <c r="H23" s="47">
        <f t="shared" ref="H23" si="10">IFERROR(IF(D23*E23+F23*G23&gt;0,D23*E23+F23*G23,0),0)</f>
        <v>0</v>
      </c>
      <c r="I23" s="176">
        <f t="shared" si="2"/>
        <v>0</v>
      </c>
      <c r="J23" s="63">
        <f t="shared" si="3"/>
        <v>0</v>
      </c>
      <c r="K23" s="175">
        <f t="shared" ref="K23" si="11">IFERROR(IF(H23="","",H23*I23*J23/1000),0)</f>
        <v>0</v>
      </c>
    </row>
    <row r="24" spans="1:11">
      <c r="A24" s="486"/>
      <c r="B24" s="484"/>
      <c r="C24" s="174" t="s">
        <v>194</v>
      </c>
      <c r="D24" s="60"/>
      <c r="E24" s="62"/>
      <c r="F24" s="61"/>
      <c r="G24" s="62"/>
      <c r="H24" s="47">
        <f t="shared" si="0"/>
        <v>0</v>
      </c>
      <c r="I24" s="176">
        <f t="shared" si="2"/>
        <v>0</v>
      </c>
      <c r="J24" s="63">
        <f t="shared" si="3"/>
        <v>0</v>
      </c>
      <c r="K24" s="175">
        <f t="shared" si="1"/>
        <v>0</v>
      </c>
    </row>
    <row r="25" spans="1:11">
      <c r="A25" s="485" t="s">
        <v>127</v>
      </c>
      <c r="B25" s="483" t="s">
        <v>200</v>
      </c>
      <c r="C25" s="174" t="s">
        <v>189</v>
      </c>
      <c r="D25" s="60"/>
      <c r="E25" s="62"/>
      <c r="F25" s="61"/>
      <c r="G25" s="62"/>
      <c r="H25" s="47">
        <f t="shared" si="0"/>
        <v>0</v>
      </c>
      <c r="I25" s="176">
        <f t="shared" si="2"/>
        <v>0</v>
      </c>
      <c r="J25" s="60"/>
      <c r="K25" s="175">
        <f t="shared" si="1"/>
        <v>0</v>
      </c>
    </row>
    <row r="26" spans="1:11">
      <c r="A26" s="486"/>
      <c r="B26" s="484"/>
      <c r="C26" s="174" t="s">
        <v>190</v>
      </c>
      <c r="D26" s="60"/>
      <c r="E26" s="62"/>
      <c r="F26" s="61"/>
      <c r="G26" s="62"/>
      <c r="H26" s="47">
        <f t="shared" ref="H26" si="12">IFERROR(IF(D26*E26+F26*G26&gt;0,D26*E26+F26*G26,0),0)</f>
        <v>0</v>
      </c>
      <c r="I26" s="176">
        <f t="shared" si="2"/>
        <v>0</v>
      </c>
      <c r="J26" s="63">
        <f>J25</f>
        <v>0</v>
      </c>
      <c r="K26" s="175">
        <f t="shared" ref="K26" si="13">IFERROR(IF(H26="","",H26*I26*J26/1000),0)</f>
        <v>0</v>
      </c>
    </row>
    <row r="27" spans="1:11">
      <c r="A27" s="486"/>
      <c r="B27" s="484"/>
      <c r="C27" s="174" t="s">
        <v>191</v>
      </c>
      <c r="D27" s="60"/>
      <c r="E27" s="62"/>
      <c r="F27" s="61"/>
      <c r="G27" s="62"/>
      <c r="H27" s="47">
        <f t="shared" si="0"/>
        <v>0</v>
      </c>
      <c r="I27" s="176">
        <f t="shared" si="2"/>
        <v>0</v>
      </c>
      <c r="J27" s="63">
        <f>J25</f>
        <v>0</v>
      </c>
      <c r="K27" s="175">
        <f t="shared" si="1"/>
        <v>0</v>
      </c>
    </row>
    <row r="28" spans="1:11">
      <c r="A28" s="486"/>
      <c r="B28" s="484"/>
      <c r="C28" s="174" t="s">
        <v>192</v>
      </c>
      <c r="D28" s="60"/>
      <c r="E28" s="62"/>
      <c r="F28" s="61"/>
      <c r="G28" s="62"/>
      <c r="H28" s="47">
        <f t="shared" ref="H28" si="14">IFERROR(IF(D28*E28+F28*G28&gt;0,D28*E28+F28*G28,0),0)</f>
        <v>0</v>
      </c>
      <c r="I28" s="176">
        <f t="shared" si="2"/>
        <v>0</v>
      </c>
      <c r="J28" s="63">
        <f>J25</f>
        <v>0</v>
      </c>
      <c r="K28" s="175">
        <f t="shared" ref="K28" si="15">IFERROR(IF(H28="","",H28*I28*J28/1000),0)</f>
        <v>0</v>
      </c>
    </row>
    <row r="29" spans="1:11">
      <c r="A29" s="486"/>
      <c r="B29" s="484"/>
      <c r="C29" s="174" t="s">
        <v>193</v>
      </c>
      <c r="D29" s="60"/>
      <c r="E29" s="62"/>
      <c r="F29" s="61"/>
      <c r="G29" s="62"/>
      <c r="H29" s="47">
        <f t="shared" si="0"/>
        <v>0</v>
      </c>
      <c r="I29" s="176">
        <f t="shared" si="2"/>
        <v>0</v>
      </c>
      <c r="J29" s="63">
        <f>J25</f>
        <v>0</v>
      </c>
      <c r="K29" s="175">
        <f t="shared" si="1"/>
        <v>0</v>
      </c>
    </row>
    <row r="30" spans="1:11">
      <c r="A30" s="486"/>
      <c r="B30" s="487"/>
      <c r="C30" s="174" t="s">
        <v>194</v>
      </c>
      <c r="D30" s="60"/>
      <c r="E30" s="62"/>
      <c r="F30" s="61"/>
      <c r="G30" s="62"/>
      <c r="H30" s="47">
        <f t="shared" si="0"/>
        <v>0</v>
      </c>
      <c r="I30" s="176">
        <f t="shared" si="2"/>
        <v>0</v>
      </c>
      <c r="J30" s="63">
        <f>J25</f>
        <v>0</v>
      </c>
      <c r="K30" s="175">
        <f t="shared" si="1"/>
        <v>0</v>
      </c>
    </row>
    <row r="31" spans="1:11">
      <c r="A31" s="485" t="s">
        <v>142</v>
      </c>
      <c r="B31" s="483" t="s">
        <v>201</v>
      </c>
      <c r="C31" s="174" t="s">
        <v>189</v>
      </c>
      <c r="D31" s="60"/>
      <c r="E31" s="62"/>
      <c r="F31" s="61"/>
      <c r="G31" s="62"/>
      <c r="H31" s="47">
        <f t="shared" si="0"/>
        <v>0</v>
      </c>
      <c r="I31" s="176">
        <f>IF(D31&gt;0,$I$9,IF(F31&gt;0,$I$9,0))</f>
        <v>0</v>
      </c>
      <c r="J31" s="63">
        <f t="shared" ref="J31:J42" si="16">IF(H31=0,0,$J$9)</f>
        <v>0</v>
      </c>
      <c r="K31" s="175">
        <f t="shared" si="1"/>
        <v>0</v>
      </c>
    </row>
    <row r="32" spans="1:11">
      <c r="A32" s="486"/>
      <c r="B32" s="484"/>
      <c r="C32" s="174" t="s">
        <v>190</v>
      </c>
      <c r="D32" s="60"/>
      <c r="E32" s="62"/>
      <c r="F32" s="61"/>
      <c r="G32" s="62"/>
      <c r="H32" s="47">
        <f t="shared" si="0"/>
        <v>0</v>
      </c>
      <c r="I32" s="176">
        <f t="shared" si="2"/>
        <v>0</v>
      </c>
      <c r="J32" s="63">
        <f t="shared" si="16"/>
        <v>0</v>
      </c>
      <c r="K32" s="175">
        <f t="shared" si="1"/>
        <v>0</v>
      </c>
    </row>
    <row r="33" spans="1:11">
      <c r="A33" s="486"/>
      <c r="B33" s="484"/>
      <c r="C33" s="174" t="s">
        <v>191</v>
      </c>
      <c r="D33" s="60"/>
      <c r="E33" s="62"/>
      <c r="F33" s="61"/>
      <c r="G33" s="62"/>
      <c r="H33" s="47">
        <f t="shared" ref="H33" si="17">IFERROR(IF(D33*E33+F33*G33&gt;0,D33*E33+F33*G33,0),0)</f>
        <v>0</v>
      </c>
      <c r="I33" s="176">
        <f t="shared" si="2"/>
        <v>0</v>
      </c>
      <c r="J33" s="63">
        <f t="shared" si="16"/>
        <v>0</v>
      </c>
      <c r="K33" s="175">
        <f t="shared" ref="K33" si="18">IFERROR(IF(H33="","",H33*I33*J33/1000),0)</f>
        <v>0</v>
      </c>
    </row>
    <row r="34" spans="1:11">
      <c r="A34" s="486"/>
      <c r="B34" s="484"/>
      <c r="C34" s="174" t="s">
        <v>192</v>
      </c>
      <c r="D34" s="60"/>
      <c r="E34" s="62"/>
      <c r="F34" s="61"/>
      <c r="G34" s="62"/>
      <c r="H34" s="47">
        <f t="shared" ref="H34" si="19">IFERROR(IF(D34*E34+F34*G34&gt;0,D34*E34+F34*G34,0),0)</f>
        <v>0</v>
      </c>
      <c r="I34" s="176">
        <f t="shared" si="2"/>
        <v>0</v>
      </c>
      <c r="J34" s="63">
        <f t="shared" si="16"/>
        <v>0</v>
      </c>
      <c r="K34" s="175">
        <f t="shared" ref="K34" si="20">IFERROR(IF(H34="","",H34*I34*J34/1000),0)</f>
        <v>0</v>
      </c>
    </row>
    <row r="35" spans="1:11">
      <c r="A35" s="486"/>
      <c r="B35" s="484"/>
      <c r="C35" s="174" t="s">
        <v>193</v>
      </c>
      <c r="D35" s="60"/>
      <c r="E35" s="62"/>
      <c r="F35" s="61"/>
      <c r="G35" s="62"/>
      <c r="H35" s="47">
        <f t="shared" si="0"/>
        <v>0</v>
      </c>
      <c r="I35" s="176">
        <f t="shared" si="2"/>
        <v>0</v>
      </c>
      <c r="J35" s="63">
        <f t="shared" si="16"/>
        <v>0</v>
      </c>
      <c r="K35" s="175">
        <f t="shared" si="1"/>
        <v>0</v>
      </c>
    </row>
    <row r="36" spans="1:11">
      <c r="A36" s="486"/>
      <c r="B36" s="487"/>
      <c r="C36" s="174" t="s">
        <v>194</v>
      </c>
      <c r="D36" s="60"/>
      <c r="E36" s="62"/>
      <c r="F36" s="61"/>
      <c r="G36" s="62"/>
      <c r="H36" s="47">
        <f t="shared" si="0"/>
        <v>0</v>
      </c>
      <c r="I36" s="176">
        <f t="shared" si="2"/>
        <v>0</v>
      </c>
      <c r="J36" s="63">
        <f t="shared" si="16"/>
        <v>0</v>
      </c>
      <c r="K36" s="175">
        <f t="shared" si="1"/>
        <v>0</v>
      </c>
    </row>
    <row r="37" spans="1:11">
      <c r="A37" s="485" t="s">
        <v>202</v>
      </c>
      <c r="B37" s="483" t="s">
        <v>203</v>
      </c>
      <c r="C37" s="177" t="s">
        <v>189</v>
      </c>
      <c r="D37" s="60"/>
      <c r="E37" s="62"/>
      <c r="F37" s="61"/>
      <c r="G37" s="62"/>
      <c r="H37" s="47">
        <f t="shared" si="0"/>
        <v>0</v>
      </c>
      <c r="I37" s="176">
        <f t="shared" si="2"/>
        <v>0</v>
      </c>
      <c r="J37" s="63">
        <f t="shared" si="16"/>
        <v>0</v>
      </c>
      <c r="K37" s="175">
        <f t="shared" si="1"/>
        <v>0</v>
      </c>
    </row>
    <row r="38" spans="1:11">
      <c r="A38" s="486"/>
      <c r="B38" s="484"/>
      <c r="C38" s="177" t="s">
        <v>190</v>
      </c>
      <c r="D38" s="60"/>
      <c r="E38" s="62"/>
      <c r="F38" s="61"/>
      <c r="G38" s="62"/>
      <c r="H38" s="47">
        <f t="shared" si="0"/>
        <v>0</v>
      </c>
      <c r="I38" s="176">
        <f t="shared" si="2"/>
        <v>0</v>
      </c>
      <c r="J38" s="63">
        <f t="shared" si="16"/>
        <v>0</v>
      </c>
      <c r="K38" s="175">
        <f t="shared" si="1"/>
        <v>0</v>
      </c>
    </row>
    <row r="39" spans="1:11">
      <c r="A39" s="486"/>
      <c r="B39" s="484"/>
      <c r="C39" s="177" t="s">
        <v>191</v>
      </c>
      <c r="D39" s="60"/>
      <c r="E39" s="62"/>
      <c r="F39" s="61"/>
      <c r="G39" s="62"/>
      <c r="H39" s="47">
        <f t="shared" ref="H39" si="21">IFERROR(IF(D39*E39+F39*G39&gt;0,D39*E39+F39*G39,0),0)</f>
        <v>0</v>
      </c>
      <c r="I39" s="176">
        <f t="shared" si="2"/>
        <v>0</v>
      </c>
      <c r="J39" s="63">
        <f t="shared" si="16"/>
        <v>0</v>
      </c>
      <c r="K39" s="175">
        <f t="shared" ref="K39" si="22">IFERROR(IF(H39="","",H39*I39*J39/1000),0)</f>
        <v>0</v>
      </c>
    </row>
    <row r="40" spans="1:11">
      <c r="A40" s="486"/>
      <c r="B40" s="484"/>
      <c r="C40" s="177" t="s">
        <v>192</v>
      </c>
      <c r="D40" s="60"/>
      <c r="E40" s="62"/>
      <c r="F40" s="61"/>
      <c r="G40" s="62"/>
      <c r="H40" s="47">
        <f t="shared" ref="H40" si="23">IFERROR(IF(D40*E40+F40*G40&gt;0,D40*E40+F40*G40,0),0)</f>
        <v>0</v>
      </c>
      <c r="I40" s="176">
        <f t="shared" si="2"/>
        <v>0</v>
      </c>
      <c r="J40" s="63">
        <f t="shared" si="16"/>
        <v>0</v>
      </c>
      <c r="K40" s="175">
        <f t="shared" ref="K40" si="24">IFERROR(IF(H40="","",H40*I40*J40/1000),0)</f>
        <v>0</v>
      </c>
    </row>
    <row r="41" spans="1:11">
      <c r="A41" s="486"/>
      <c r="B41" s="484"/>
      <c r="C41" s="177" t="s">
        <v>193</v>
      </c>
      <c r="D41" s="60"/>
      <c r="E41" s="62"/>
      <c r="F41" s="61"/>
      <c r="G41" s="62"/>
      <c r="H41" s="47">
        <f t="shared" si="0"/>
        <v>0</v>
      </c>
      <c r="I41" s="176">
        <f t="shared" si="2"/>
        <v>0</v>
      </c>
      <c r="J41" s="63">
        <f t="shared" si="16"/>
        <v>0</v>
      </c>
      <c r="K41" s="175">
        <f t="shared" si="1"/>
        <v>0</v>
      </c>
    </row>
    <row r="42" spans="1:11">
      <c r="A42" s="486"/>
      <c r="B42" s="487"/>
      <c r="C42" s="177" t="s">
        <v>194</v>
      </c>
      <c r="D42" s="60"/>
      <c r="E42" s="62"/>
      <c r="F42" s="61"/>
      <c r="G42" s="62"/>
      <c r="H42" s="47">
        <f t="shared" si="0"/>
        <v>0</v>
      </c>
      <c r="I42" s="176">
        <f t="shared" si="2"/>
        <v>0</v>
      </c>
      <c r="J42" s="63">
        <f t="shared" si="16"/>
        <v>0</v>
      </c>
      <c r="K42" s="175">
        <f t="shared" si="1"/>
        <v>0</v>
      </c>
    </row>
    <row r="43" spans="1:11">
      <c r="A43" s="488" t="s">
        <v>204</v>
      </c>
      <c r="B43" s="489"/>
      <c r="C43" s="489"/>
      <c r="D43" s="489"/>
      <c r="E43" s="489"/>
      <c r="F43" s="489"/>
      <c r="G43" s="489"/>
      <c r="H43" s="178">
        <f>SUM(H9:H42)</f>
        <v>0</v>
      </c>
      <c r="I43" s="495"/>
      <c r="J43" s="496"/>
      <c r="K43" s="179">
        <f>SUM(K9:K42)</f>
        <v>0</v>
      </c>
    </row>
    <row r="44" spans="1:11" s="138" customFormat="1" ht="15.6">
      <c r="A44" s="475" t="s">
        <v>205</v>
      </c>
      <c r="B44" s="475"/>
      <c r="C44" s="475"/>
      <c r="D44" s="475"/>
      <c r="E44" s="475"/>
      <c r="F44" s="475"/>
      <c r="G44" s="475"/>
      <c r="H44" s="475"/>
      <c r="I44" s="475"/>
      <c r="J44" s="475"/>
      <c r="K44" s="475"/>
    </row>
    <row r="45" spans="1:11" ht="83.45" customHeight="1">
      <c r="A45" s="476" t="s">
        <v>79</v>
      </c>
      <c r="B45" s="477" t="s">
        <v>171</v>
      </c>
      <c r="C45" s="478"/>
      <c r="D45" s="121" t="s">
        <v>172</v>
      </c>
      <c r="E45" s="121" t="s">
        <v>173</v>
      </c>
      <c r="F45" s="121" t="s">
        <v>174</v>
      </c>
      <c r="G45" s="121" t="s">
        <v>175</v>
      </c>
      <c r="H45" s="121" t="s">
        <v>176</v>
      </c>
      <c r="I45" s="121" t="s">
        <v>177</v>
      </c>
      <c r="J45" s="121" t="s">
        <v>178</v>
      </c>
      <c r="K45" s="121" t="s">
        <v>179</v>
      </c>
    </row>
    <row r="46" spans="1:11">
      <c r="A46" s="476"/>
      <c r="B46" s="479"/>
      <c r="C46" s="480"/>
      <c r="D46" s="121" t="s">
        <v>180</v>
      </c>
      <c r="E46" s="121" t="s">
        <v>181</v>
      </c>
      <c r="F46" s="121" t="s">
        <v>182</v>
      </c>
      <c r="G46" s="121" t="s">
        <v>183</v>
      </c>
      <c r="H46" s="171" t="s">
        <v>184</v>
      </c>
      <c r="I46" s="121" t="s">
        <v>185</v>
      </c>
      <c r="J46" s="121" t="s">
        <v>186</v>
      </c>
      <c r="K46" s="171" t="s">
        <v>187</v>
      </c>
    </row>
    <row r="47" spans="1:11" s="173" customFormat="1" ht="8.1">
      <c r="A47" s="172">
        <v>1</v>
      </c>
      <c r="B47" s="172">
        <v>2</v>
      </c>
      <c r="C47" s="172">
        <v>3</v>
      </c>
      <c r="D47" s="172">
        <v>4</v>
      </c>
      <c r="E47" s="172">
        <v>5</v>
      </c>
      <c r="F47" s="172">
        <v>6</v>
      </c>
      <c r="G47" s="172">
        <v>7</v>
      </c>
      <c r="H47" s="172">
        <v>8</v>
      </c>
      <c r="I47" s="172">
        <v>9</v>
      </c>
      <c r="J47" s="172">
        <v>10</v>
      </c>
      <c r="K47" s="172">
        <v>11</v>
      </c>
    </row>
    <row r="48" spans="1:11" ht="14.45" customHeight="1">
      <c r="A48" s="481" t="s">
        <v>123</v>
      </c>
      <c r="B48" s="483" t="s">
        <v>188</v>
      </c>
      <c r="C48" s="174" t="s">
        <v>189</v>
      </c>
      <c r="D48" s="60"/>
      <c r="E48" s="60"/>
      <c r="F48" s="61"/>
      <c r="G48" s="62"/>
      <c r="H48" s="47">
        <f>IFERROR(IF(D48*E48+F48*G48&gt;0,D48*E48+F48*G48,0),0)</f>
        <v>0</v>
      </c>
      <c r="I48" s="62"/>
      <c r="J48" s="62"/>
      <c r="K48" s="175">
        <f>IFERROR(IF(H48="","",H48*I48*J48/1000),0)</f>
        <v>0</v>
      </c>
    </row>
    <row r="49" spans="1:11" ht="14.45" customHeight="1">
      <c r="A49" s="482"/>
      <c r="B49" s="484"/>
      <c r="C49" s="174" t="s">
        <v>190</v>
      </c>
      <c r="D49" s="60"/>
      <c r="E49" s="60"/>
      <c r="F49" s="61"/>
      <c r="G49" s="62"/>
      <c r="H49" s="47">
        <f t="shared" ref="H49:H65" si="25">IFERROR(IF(D49*E49+F49*G49&gt;0,D49*E49+F49*G49,0),0)</f>
        <v>0</v>
      </c>
      <c r="I49" s="176">
        <f>IF(D49&gt;0,$I$9,IF(F49&gt;0,$I$9,0))</f>
        <v>0</v>
      </c>
      <c r="J49" s="63">
        <f>J48</f>
        <v>0</v>
      </c>
      <c r="K49" s="175">
        <f t="shared" ref="K49:K65" si="26">IFERROR(IF(H49="","",H49*I49*J49/1000),0)</f>
        <v>0</v>
      </c>
    </row>
    <row r="50" spans="1:11">
      <c r="A50" s="482"/>
      <c r="B50" s="484"/>
      <c r="C50" s="174" t="s">
        <v>191</v>
      </c>
      <c r="D50" s="60"/>
      <c r="E50" s="60"/>
      <c r="F50" s="61"/>
      <c r="G50" s="62"/>
      <c r="H50" s="47">
        <f t="shared" si="25"/>
        <v>0</v>
      </c>
      <c r="I50" s="176">
        <f t="shared" ref="I50:I65" si="27">IF(D50&gt;0,$I$9,IF(F50&gt;0,$I$9,0))</f>
        <v>0</v>
      </c>
      <c r="J50" s="63">
        <f t="shared" ref="J50:J56" si="28">J49</f>
        <v>0</v>
      </c>
      <c r="K50" s="175">
        <f t="shared" si="26"/>
        <v>0</v>
      </c>
    </row>
    <row r="51" spans="1:11">
      <c r="A51" s="482"/>
      <c r="B51" s="484"/>
      <c r="C51" s="174" t="s">
        <v>192</v>
      </c>
      <c r="D51" s="60"/>
      <c r="E51" s="60"/>
      <c r="F51" s="61"/>
      <c r="G51" s="62"/>
      <c r="H51" s="47">
        <f t="shared" si="25"/>
        <v>0</v>
      </c>
      <c r="I51" s="176">
        <f t="shared" si="27"/>
        <v>0</v>
      </c>
      <c r="J51" s="63">
        <f t="shared" si="28"/>
        <v>0</v>
      </c>
      <c r="K51" s="175">
        <f t="shared" si="26"/>
        <v>0</v>
      </c>
    </row>
    <row r="52" spans="1:11">
      <c r="A52" s="482"/>
      <c r="B52" s="484"/>
      <c r="C52" s="174" t="s">
        <v>193</v>
      </c>
      <c r="D52" s="60"/>
      <c r="E52" s="60"/>
      <c r="F52" s="61"/>
      <c r="G52" s="62"/>
      <c r="H52" s="47">
        <f t="shared" si="25"/>
        <v>0</v>
      </c>
      <c r="I52" s="176">
        <f t="shared" si="27"/>
        <v>0</v>
      </c>
      <c r="J52" s="63">
        <f t="shared" si="28"/>
        <v>0</v>
      </c>
      <c r="K52" s="175">
        <f t="shared" si="26"/>
        <v>0</v>
      </c>
    </row>
    <row r="53" spans="1:11">
      <c r="A53" s="482"/>
      <c r="B53" s="484"/>
      <c r="C53" s="174" t="s">
        <v>194</v>
      </c>
      <c r="D53" s="60"/>
      <c r="E53" s="60"/>
      <c r="F53" s="61"/>
      <c r="G53" s="62"/>
      <c r="H53" s="47">
        <f t="shared" si="25"/>
        <v>0</v>
      </c>
      <c r="I53" s="176">
        <f t="shared" si="27"/>
        <v>0</v>
      </c>
      <c r="J53" s="63">
        <f t="shared" si="28"/>
        <v>0</v>
      </c>
      <c r="K53" s="175">
        <f t="shared" si="26"/>
        <v>0</v>
      </c>
    </row>
    <row r="54" spans="1:11">
      <c r="A54" s="485" t="s">
        <v>125</v>
      </c>
      <c r="B54" s="483" t="s">
        <v>199</v>
      </c>
      <c r="C54" s="174" t="s">
        <v>189</v>
      </c>
      <c r="D54" s="60"/>
      <c r="E54" s="60"/>
      <c r="F54" s="61"/>
      <c r="G54" s="62"/>
      <c r="H54" s="47">
        <f t="shared" si="25"/>
        <v>0</v>
      </c>
      <c r="I54" s="176">
        <f t="shared" si="27"/>
        <v>0</v>
      </c>
      <c r="J54" s="63">
        <f t="shared" si="28"/>
        <v>0</v>
      </c>
      <c r="K54" s="175">
        <f t="shared" si="26"/>
        <v>0</v>
      </c>
    </row>
    <row r="55" spans="1:11">
      <c r="A55" s="486"/>
      <c r="B55" s="484"/>
      <c r="C55" s="174" t="s">
        <v>190</v>
      </c>
      <c r="D55" s="60"/>
      <c r="E55" s="60"/>
      <c r="F55" s="61"/>
      <c r="G55" s="62"/>
      <c r="H55" s="47">
        <f t="shared" si="25"/>
        <v>0</v>
      </c>
      <c r="I55" s="176">
        <f t="shared" si="27"/>
        <v>0</v>
      </c>
      <c r="J55" s="63">
        <f t="shared" si="28"/>
        <v>0</v>
      </c>
      <c r="K55" s="175">
        <f t="shared" si="26"/>
        <v>0</v>
      </c>
    </row>
    <row r="56" spans="1:11">
      <c r="A56" s="486"/>
      <c r="B56" s="484"/>
      <c r="C56" s="174" t="s">
        <v>191</v>
      </c>
      <c r="D56" s="60"/>
      <c r="E56" s="60"/>
      <c r="F56" s="61"/>
      <c r="G56" s="62"/>
      <c r="H56" s="47">
        <f t="shared" si="25"/>
        <v>0</v>
      </c>
      <c r="I56" s="176">
        <f t="shared" si="27"/>
        <v>0</v>
      </c>
      <c r="J56" s="63">
        <f t="shared" si="28"/>
        <v>0</v>
      </c>
      <c r="K56" s="175">
        <f t="shared" si="26"/>
        <v>0</v>
      </c>
    </row>
    <row r="57" spans="1:11">
      <c r="A57" s="485" t="s">
        <v>127</v>
      </c>
      <c r="B57" s="483" t="s">
        <v>200</v>
      </c>
      <c r="C57" s="174" t="s">
        <v>189</v>
      </c>
      <c r="D57" s="60"/>
      <c r="E57" s="60"/>
      <c r="F57" s="61"/>
      <c r="G57" s="62"/>
      <c r="H57" s="47">
        <f t="shared" si="25"/>
        <v>0</v>
      </c>
      <c r="I57" s="176">
        <f t="shared" si="27"/>
        <v>0</v>
      </c>
      <c r="J57" s="62"/>
      <c r="K57" s="175">
        <f t="shared" si="26"/>
        <v>0</v>
      </c>
    </row>
    <row r="58" spans="1:11">
      <c r="A58" s="486"/>
      <c r="B58" s="484"/>
      <c r="C58" s="174" t="s">
        <v>190</v>
      </c>
      <c r="D58" s="60"/>
      <c r="E58" s="60"/>
      <c r="F58" s="61"/>
      <c r="G58" s="62"/>
      <c r="H58" s="47">
        <f t="shared" si="25"/>
        <v>0</v>
      </c>
      <c r="I58" s="176">
        <f t="shared" si="27"/>
        <v>0</v>
      </c>
      <c r="J58" s="63">
        <f>J57</f>
        <v>0</v>
      </c>
      <c r="K58" s="175">
        <f t="shared" si="26"/>
        <v>0</v>
      </c>
    </row>
    <row r="59" spans="1:11">
      <c r="A59" s="486"/>
      <c r="B59" s="487"/>
      <c r="C59" s="174" t="s">
        <v>191</v>
      </c>
      <c r="D59" s="60"/>
      <c r="E59" s="60"/>
      <c r="F59" s="61"/>
      <c r="G59" s="62"/>
      <c r="H59" s="47">
        <f t="shared" si="25"/>
        <v>0</v>
      </c>
      <c r="I59" s="176">
        <f t="shared" si="27"/>
        <v>0</v>
      </c>
      <c r="J59" s="63">
        <f>J58</f>
        <v>0</v>
      </c>
      <c r="K59" s="175">
        <f t="shared" si="26"/>
        <v>0</v>
      </c>
    </row>
    <row r="60" spans="1:11">
      <c r="A60" s="485" t="s">
        <v>142</v>
      </c>
      <c r="B60" s="483" t="s">
        <v>201</v>
      </c>
      <c r="C60" s="174" t="s">
        <v>189</v>
      </c>
      <c r="D60" s="60"/>
      <c r="E60" s="60"/>
      <c r="F60" s="61"/>
      <c r="G60" s="62"/>
      <c r="H60" s="47">
        <f t="shared" si="25"/>
        <v>0</v>
      </c>
      <c r="I60" s="176">
        <f t="shared" si="27"/>
        <v>0</v>
      </c>
      <c r="J60" s="63">
        <f>J48</f>
        <v>0</v>
      </c>
      <c r="K60" s="175">
        <f t="shared" si="26"/>
        <v>0</v>
      </c>
    </row>
    <row r="61" spans="1:11">
      <c r="A61" s="486"/>
      <c r="B61" s="484"/>
      <c r="C61" s="174" t="s">
        <v>190</v>
      </c>
      <c r="D61" s="60"/>
      <c r="E61" s="60"/>
      <c r="F61" s="61"/>
      <c r="G61" s="62"/>
      <c r="H61" s="47">
        <f t="shared" si="25"/>
        <v>0</v>
      </c>
      <c r="I61" s="176">
        <f t="shared" si="27"/>
        <v>0</v>
      </c>
      <c r="J61" s="63">
        <f t="shared" ref="J61:J65" si="29">J49</f>
        <v>0</v>
      </c>
      <c r="K61" s="175">
        <f t="shared" si="26"/>
        <v>0</v>
      </c>
    </row>
    <row r="62" spans="1:11">
      <c r="A62" s="486"/>
      <c r="B62" s="487"/>
      <c r="C62" s="174" t="s">
        <v>191</v>
      </c>
      <c r="D62" s="60"/>
      <c r="E62" s="60"/>
      <c r="F62" s="61"/>
      <c r="G62" s="62"/>
      <c r="H62" s="47">
        <f t="shared" si="25"/>
        <v>0</v>
      </c>
      <c r="I62" s="176">
        <f t="shared" si="27"/>
        <v>0</v>
      </c>
      <c r="J62" s="63">
        <f t="shared" si="29"/>
        <v>0</v>
      </c>
      <c r="K62" s="175">
        <f t="shared" si="26"/>
        <v>0</v>
      </c>
    </row>
    <row r="63" spans="1:11">
      <c r="A63" s="485" t="s">
        <v>202</v>
      </c>
      <c r="B63" s="483" t="s">
        <v>203</v>
      </c>
      <c r="C63" s="177" t="s">
        <v>189</v>
      </c>
      <c r="D63" s="60"/>
      <c r="E63" s="60"/>
      <c r="F63" s="61"/>
      <c r="G63" s="62"/>
      <c r="H63" s="47">
        <f t="shared" si="25"/>
        <v>0</v>
      </c>
      <c r="I63" s="176">
        <f t="shared" si="27"/>
        <v>0</v>
      </c>
      <c r="J63" s="63">
        <f t="shared" si="29"/>
        <v>0</v>
      </c>
      <c r="K63" s="175">
        <f t="shared" si="26"/>
        <v>0</v>
      </c>
    </row>
    <row r="64" spans="1:11">
      <c r="A64" s="486"/>
      <c r="B64" s="484"/>
      <c r="C64" s="177" t="s">
        <v>190</v>
      </c>
      <c r="D64" s="60"/>
      <c r="E64" s="60"/>
      <c r="F64" s="61"/>
      <c r="G64" s="62"/>
      <c r="H64" s="47">
        <f t="shared" si="25"/>
        <v>0</v>
      </c>
      <c r="I64" s="176">
        <f t="shared" si="27"/>
        <v>0</v>
      </c>
      <c r="J64" s="63">
        <f t="shared" si="29"/>
        <v>0</v>
      </c>
      <c r="K64" s="175">
        <f t="shared" si="26"/>
        <v>0</v>
      </c>
    </row>
    <row r="65" spans="1:11">
      <c r="A65" s="486"/>
      <c r="B65" s="487"/>
      <c r="C65" s="177" t="s">
        <v>191</v>
      </c>
      <c r="D65" s="60"/>
      <c r="E65" s="60"/>
      <c r="F65" s="61"/>
      <c r="G65" s="62"/>
      <c r="H65" s="47">
        <f t="shared" si="25"/>
        <v>0</v>
      </c>
      <c r="I65" s="176">
        <f t="shared" si="27"/>
        <v>0</v>
      </c>
      <c r="J65" s="63">
        <f t="shared" si="29"/>
        <v>0</v>
      </c>
      <c r="K65" s="175">
        <f t="shared" si="26"/>
        <v>0</v>
      </c>
    </row>
    <row r="66" spans="1:11">
      <c r="A66" s="488" t="s">
        <v>206</v>
      </c>
      <c r="B66" s="489"/>
      <c r="C66" s="489"/>
      <c r="D66" s="489"/>
      <c r="E66" s="489"/>
      <c r="F66" s="489"/>
      <c r="G66" s="489"/>
      <c r="H66" s="178">
        <f>SUM(H48:H65)</f>
        <v>0</v>
      </c>
      <c r="I66" s="490"/>
      <c r="J66" s="491"/>
      <c r="K66" s="179">
        <f>SUM(K48:K65)</f>
        <v>0</v>
      </c>
    </row>
    <row r="67" spans="1:11" s="181" customFormat="1" ht="10.7" customHeight="1">
      <c r="A67" s="180"/>
      <c r="B67" s="180"/>
      <c r="C67" s="180"/>
      <c r="D67" s="180"/>
      <c r="E67" s="180"/>
      <c r="F67" s="180"/>
      <c r="G67" s="180"/>
      <c r="H67" s="180"/>
      <c r="I67" s="180"/>
      <c r="J67" s="180"/>
      <c r="K67" s="180"/>
    </row>
    <row r="68" spans="1:11" s="138" customFormat="1" ht="15.6">
      <c r="A68" s="475" t="s">
        <v>207</v>
      </c>
      <c r="B68" s="475"/>
      <c r="C68" s="475"/>
      <c r="D68" s="475"/>
      <c r="E68" s="475"/>
      <c r="F68" s="475"/>
      <c r="G68" s="475"/>
      <c r="H68" s="475"/>
      <c r="I68" s="475"/>
      <c r="J68" s="475"/>
      <c r="K68" s="475"/>
    </row>
    <row r="69" spans="1:11" ht="83.45" customHeight="1">
      <c r="A69" s="476" t="s">
        <v>79</v>
      </c>
      <c r="B69" s="477" t="s">
        <v>171</v>
      </c>
      <c r="C69" s="478"/>
      <c r="D69" s="121" t="s">
        <v>172</v>
      </c>
      <c r="E69" s="121" t="s">
        <v>173</v>
      </c>
      <c r="F69" s="121" t="s">
        <v>174</v>
      </c>
      <c r="G69" s="121" t="s">
        <v>175</v>
      </c>
      <c r="H69" s="121" t="s">
        <v>176</v>
      </c>
      <c r="I69" s="121" t="s">
        <v>177</v>
      </c>
      <c r="J69" s="121" t="s">
        <v>178</v>
      </c>
      <c r="K69" s="121" t="s">
        <v>179</v>
      </c>
    </row>
    <row r="70" spans="1:11">
      <c r="A70" s="476"/>
      <c r="B70" s="479"/>
      <c r="C70" s="480"/>
      <c r="D70" s="121" t="s">
        <v>180</v>
      </c>
      <c r="E70" s="121" t="s">
        <v>181</v>
      </c>
      <c r="F70" s="121" t="s">
        <v>182</v>
      </c>
      <c r="G70" s="121" t="s">
        <v>183</v>
      </c>
      <c r="H70" s="171" t="s">
        <v>184</v>
      </c>
      <c r="I70" s="121" t="s">
        <v>185</v>
      </c>
      <c r="J70" s="121" t="s">
        <v>186</v>
      </c>
      <c r="K70" s="171" t="s">
        <v>187</v>
      </c>
    </row>
    <row r="71" spans="1:11" s="173" customFormat="1" ht="8.1">
      <c r="A71" s="172">
        <v>1</v>
      </c>
      <c r="B71" s="172">
        <v>2</v>
      </c>
      <c r="C71" s="172">
        <v>3</v>
      </c>
      <c r="D71" s="172">
        <v>4</v>
      </c>
      <c r="E71" s="172">
        <v>5</v>
      </c>
      <c r="F71" s="172">
        <v>6</v>
      </c>
      <c r="G71" s="172">
        <v>7</v>
      </c>
      <c r="H71" s="172">
        <v>8</v>
      </c>
      <c r="I71" s="172">
        <v>9</v>
      </c>
      <c r="J71" s="172">
        <v>10</v>
      </c>
      <c r="K71" s="172">
        <v>11</v>
      </c>
    </row>
    <row r="72" spans="1:11" ht="14.45" customHeight="1">
      <c r="A72" s="481" t="s">
        <v>123</v>
      </c>
      <c r="B72" s="483" t="s">
        <v>188</v>
      </c>
      <c r="C72" s="174" t="s">
        <v>189</v>
      </c>
      <c r="D72" s="60"/>
      <c r="E72" s="60"/>
      <c r="F72" s="61"/>
      <c r="G72" s="62"/>
      <c r="H72" s="47">
        <f>IFERROR(IF(D72*E72+F72*G72&gt;0,D72*E72+F72*G72,0),0)</f>
        <v>0</v>
      </c>
      <c r="I72" s="62"/>
      <c r="J72" s="62"/>
      <c r="K72" s="175">
        <f>IFERROR(IF(H72="","",H72*I72*J72/1000),0)</f>
        <v>0</v>
      </c>
    </row>
    <row r="73" spans="1:11" ht="14.45" customHeight="1">
      <c r="A73" s="482"/>
      <c r="B73" s="484"/>
      <c r="C73" s="174" t="s">
        <v>190</v>
      </c>
      <c r="D73" s="60"/>
      <c r="E73" s="60"/>
      <c r="F73" s="61"/>
      <c r="G73" s="62"/>
      <c r="H73" s="47">
        <f t="shared" ref="H73:H89" si="30">IFERROR(IF(D73*E73+F73*G73&gt;0,D73*E73+F73*G73,0),0)</f>
        <v>0</v>
      </c>
      <c r="I73" s="176">
        <f>IF(D73&gt;0,$I$9,IF(F73&gt;0,$I$9,0))</f>
        <v>0</v>
      </c>
      <c r="J73" s="63">
        <f>J72</f>
        <v>0</v>
      </c>
      <c r="K73" s="175">
        <f t="shared" ref="K73:K89" si="31">IFERROR(IF(H73="","",H73*I73*J73/1000),0)</f>
        <v>0</v>
      </c>
    </row>
    <row r="74" spans="1:11">
      <c r="A74" s="482"/>
      <c r="B74" s="484"/>
      <c r="C74" s="174" t="s">
        <v>191</v>
      </c>
      <c r="D74" s="60"/>
      <c r="E74" s="60"/>
      <c r="F74" s="61"/>
      <c r="G74" s="62"/>
      <c r="H74" s="47">
        <f t="shared" si="30"/>
        <v>0</v>
      </c>
      <c r="I74" s="176">
        <f t="shared" ref="I74:I89" si="32">IF(D74&gt;0,$I$9,IF(F74&gt;0,$I$9,0))</f>
        <v>0</v>
      </c>
      <c r="J74" s="63">
        <f t="shared" ref="J74:J80" si="33">J73</f>
        <v>0</v>
      </c>
      <c r="K74" s="175">
        <f t="shared" si="31"/>
        <v>0</v>
      </c>
    </row>
    <row r="75" spans="1:11">
      <c r="A75" s="482"/>
      <c r="B75" s="484"/>
      <c r="C75" s="174" t="s">
        <v>192</v>
      </c>
      <c r="D75" s="60"/>
      <c r="E75" s="60"/>
      <c r="F75" s="61"/>
      <c r="G75" s="62"/>
      <c r="H75" s="47">
        <f t="shared" si="30"/>
        <v>0</v>
      </c>
      <c r="I75" s="176">
        <f t="shared" si="32"/>
        <v>0</v>
      </c>
      <c r="J75" s="63">
        <f t="shared" si="33"/>
        <v>0</v>
      </c>
      <c r="K75" s="175">
        <f t="shared" si="31"/>
        <v>0</v>
      </c>
    </row>
    <row r="76" spans="1:11">
      <c r="A76" s="482"/>
      <c r="B76" s="484"/>
      <c r="C76" s="174" t="s">
        <v>193</v>
      </c>
      <c r="D76" s="60"/>
      <c r="E76" s="60"/>
      <c r="F76" s="61"/>
      <c r="G76" s="62"/>
      <c r="H76" s="47">
        <f t="shared" si="30"/>
        <v>0</v>
      </c>
      <c r="I76" s="176">
        <f t="shared" si="32"/>
        <v>0</v>
      </c>
      <c r="J76" s="63">
        <f t="shared" si="33"/>
        <v>0</v>
      </c>
      <c r="K76" s="175">
        <f t="shared" si="31"/>
        <v>0</v>
      </c>
    </row>
    <row r="77" spans="1:11">
      <c r="A77" s="482"/>
      <c r="B77" s="484"/>
      <c r="C77" s="174" t="s">
        <v>194</v>
      </c>
      <c r="D77" s="60"/>
      <c r="E77" s="60"/>
      <c r="F77" s="61"/>
      <c r="G77" s="62"/>
      <c r="H77" s="47">
        <f t="shared" si="30"/>
        <v>0</v>
      </c>
      <c r="I77" s="176">
        <f t="shared" si="32"/>
        <v>0</v>
      </c>
      <c r="J77" s="63">
        <f t="shared" si="33"/>
        <v>0</v>
      </c>
      <c r="K77" s="175">
        <f t="shared" si="31"/>
        <v>0</v>
      </c>
    </row>
    <row r="78" spans="1:11">
      <c r="A78" s="485" t="s">
        <v>125</v>
      </c>
      <c r="B78" s="483" t="s">
        <v>199</v>
      </c>
      <c r="C78" s="174" t="s">
        <v>189</v>
      </c>
      <c r="D78" s="60"/>
      <c r="E78" s="60"/>
      <c r="F78" s="61"/>
      <c r="G78" s="62"/>
      <c r="H78" s="47">
        <f t="shared" si="30"/>
        <v>0</v>
      </c>
      <c r="I78" s="176">
        <f t="shared" si="32"/>
        <v>0</v>
      </c>
      <c r="J78" s="63">
        <f t="shared" si="33"/>
        <v>0</v>
      </c>
      <c r="K78" s="175">
        <f t="shared" si="31"/>
        <v>0</v>
      </c>
    </row>
    <row r="79" spans="1:11">
      <c r="A79" s="486"/>
      <c r="B79" s="484"/>
      <c r="C79" s="174" t="s">
        <v>190</v>
      </c>
      <c r="D79" s="60"/>
      <c r="E79" s="60"/>
      <c r="F79" s="61"/>
      <c r="G79" s="62"/>
      <c r="H79" s="47">
        <f t="shared" si="30"/>
        <v>0</v>
      </c>
      <c r="I79" s="176">
        <f t="shared" si="32"/>
        <v>0</v>
      </c>
      <c r="J79" s="63">
        <f t="shared" si="33"/>
        <v>0</v>
      </c>
      <c r="K79" s="175">
        <f t="shared" si="31"/>
        <v>0</v>
      </c>
    </row>
    <row r="80" spans="1:11">
      <c r="A80" s="486"/>
      <c r="B80" s="484"/>
      <c r="C80" s="174" t="s">
        <v>191</v>
      </c>
      <c r="D80" s="60"/>
      <c r="E80" s="60"/>
      <c r="F80" s="61"/>
      <c r="G80" s="62"/>
      <c r="H80" s="47">
        <f t="shared" si="30"/>
        <v>0</v>
      </c>
      <c r="I80" s="176">
        <f t="shared" si="32"/>
        <v>0</v>
      </c>
      <c r="J80" s="63">
        <f t="shared" si="33"/>
        <v>0</v>
      </c>
      <c r="K80" s="175">
        <f t="shared" si="31"/>
        <v>0</v>
      </c>
    </row>
    <row r="81" spans="1:11">
      <c r="A81" s="485" t="s">
        <v>127</v>
      </c>
      <c r="B81" s="483" t="s">
        <v>200</v>
      </c>
      <c r="C81" s="174" t="s">
        <v>189</v>
      </c>
      <c r="D81" s="60"/>
      <c r="E81" s="60"/>
      <c r="F81" s="61"/>
      <c r="G81" s="62"/>
      <c r="H81" s="47">
        <f t="shared" si="30"/>
        <v>0</v>
      </c>
      <c r="I81" s="176">
        <f t="shared" si="32"/>
        <v>0</v>
      </c>
      <c r="J81" s="62"/>
      <c r="K81" s="175">
        <f t="shared" si="31"/>
        <v>0</v>
      </c>
    </row>
    <row r="82" spans="1:11">
      <c r="A82" s="486"/>
      <c r="B82" s="484"/>
      <c r="C82" s="174" t="s">
        <v>190</v>
      </c>
      <c r="D82" s="60"/>
      <c r="E82" s="60"/>
      <c r="F82" s="61"/>
      <c r="G82" s="62"/>
      <c r="H82" s="47">
        <f t="shared" si="30"/>
        <v>0</v>
      </c>
      <c r="I82" s="176">
        <f t="shared" si="32"/>
        <v>0</v>
      </c>
      <c r="J82" s="63">
        <f>J81</f>
        <v>0</v>
      </c>
      <c r="K82" s="175">
        <f t="shared" si="31"/>
        <v>0</v>
      </c>
    </row>
    <row r="83" spans="1:11">
      <c r="A83" s="486"/>
      <c r="B83" s="487"/>
      <c r="C83" s="174" t="s">
        <v>191</v>
      </c>
      <c r="D83" s="60"/>
      <c r="E83" s="60"/>
      <c r="F83" s="61"/>
      <c r="G83" s="62"/>
      <c r="H83" s="47">
        <f t="shared" si="30"/>
        <v>0</v>
      </c>
      <c r="I83" s="176">
        <f t="shared" si="32"/>
        <v>0</v>
      </c>
      <c r="J83" s="63">
        <f>J82</f>
        <v>0</v>
      </c>
      <c r="K83" s="175">
        <f t="shared" si="31"/>
        <v>0</v>
      </c>
    </row>
    <row r="84" spans="1:11">
      <c r="A84" s="485" t="s">
        <v>142</v>
      </c>
      <c r="B84" s="483" t="s">
        <v>201</v>
      </c>
      <c r="C84" s="174" t="s">
        <v>189</v>
      </c>
      <c r="D84" s="60"/>
      <c r="E84" s="60"/>
      <c r="F84" s="61"/>
      <c r="G84" s="62"/>
      <c r="H84" s="47">
        <f t="shared" si="30"/>
        <v>0</v>
      </c>
      <c r="I84" s="176">
        <f t="shared" si="32"/>
        <v>0</v>
      </c>
      <c r="J84" s="63">
        <f>J72</f>
        <v>0</v>
      </c>
      <c r="K84" s="175">
        <f t="shared" si="31"/>
        <v>0</v>
      </c>
    </row>
    <row r="85" spans="1:11">
      <c r="A85" s="486"/>
      <c r="B85" s="484"/>
      <c r="C85" s="174" t="s">
        <v>190</v>
      </c>
      <c r="D85" s="60"/>
      <c r="E85" s="60"/>
      <c r="F85" s="61"/>
      <c r="G85" s="62"/>
      <c r="H85" s="47">
        <f t="shared" si="30"/>
        <v>0</v>
      </c>
      <c r="I85" s="176">
        <f t="shared" si="32"/>
        <v>0</v>
      </c>
      <c r="J85" s="63">
        <f t="shared" ref="J85:J89" si="34">J73</f>
        <v>0</v>
      </c>
      <c r="K85" s="175">
        <f t="shared" si="31"/>
        <v>0</v>
      </c>
    </row>
    <row r="86" spans="1:11">
      <c r="A86" s="486"/>
      <c r="B86" s="487"/>
      <c r="C86" s="174" t="s">
        <v>191</v>
      </c>
      <c r="D86" s="60"/>
      <c r="E86" s="60"/>
      <c r="F86" s="61"/>
      <c r="G86" s="62"/>
      <c r="H86" s="47">
        <f t="shared" si="30"/>
        <v>0</v>
      </c>
      <c r="I86" s="176">
        <f t="shared" si="32"/>
        <v>0</v>
      </c>
      <c r="J86" s="63">
        <f t="shared" si="34"/>
        <v>0</v>
      </c>
      <c r="K86" s="175">
        <f t="shared" si="31"/>
        <v>0</v>
      </c>
    </row>
    <row r="87" spans="1:11">
      <c r="A87" s="485" t="s">
        <v>202</v>
      </c>
      <c r="B87" s="483" t="s">
        <v>203</v>
      </c>
      <c r="C87" s="177" t="s">
        <v>189</v>
      </c>
      <c r="D87" s="60"/>
      <c r="E87" s="60"/>
      <c r="F87" s="61"/>
      <c r="G87" s="62"/>
      <c r="H87" s="47">
        <f t="shared" si="30"/>
        <v>0</v>
      </c>
      <c r="I87" s="176">
        <f t="shared" si="32"/>
        <v>0</v>
      </c>
      <c r="J87" s="63">
        <f t="shared" si="34"/>
        <v>0</v>
      </c>
      <c r="K87" s="175">
        <f t="shared" si="31"/>
        <v>0</v>
      </c>
    </row>
    <row r="88" spans="1:11">
      <c r="A88" s="486"/>
      <c r="B88" s="484"/>
      <c r="C88" s="177" t="s">
        <v>190</v>
      </c>
      <c r="D88" s="60"/>
      <c r="E88" s="60"/>
      <c r="F88" s="61"/>
      <c r="G88" s="62"/>
      <c r="H88" s="47">
        <f t="shared" si="30"/>
        <v>0</v>
      </c>
      <c r="I88" s="176">
        <f t="shared" si="32"/>
        <v>0</v>
      </c>
      <c r="J88" s="63">
        <f t="shared" si="34"/>
        <v>0</v>
      </c>
      <c r="K88" s="175">
        <f t="shared" si="31"/>
        <v>0</v>
      </c>
    </row>
    <row r="89" spans="1:11">
      <c r="A89" s="486"/>
      <c r="B89" s="487"/>
      <c r="C89" s="177" t="s">
        <v>191</v>
      </c>
      <c r="D89" s="60"/>
      <c r="E89" s="60"/>
      <c r="F89" s="61"/>
      <c r="G89" s="62"/>
      <c r="H89" s="47">
        <f t="shared" si="30"/>
        <v>0</v>
      </c>
      <c r="I89" s="176">
        <f t="shared" si="32"/>
        <v>0</v>
      </c>
      <c r="J89" s="63">
        <f t="shared" si="34"/>
        <v>0</v>
      </c>
      <c r="K89" s="175">
        <f t="shared" si="31"/>
        <v>0</v>
      </c>
    </row>
    <row r="90" spans="1:11">
      <c r="A90" s="488" t="s">
        <v>208</v>
      </c>
      <c r="B90" s="489"/>
      <c r="C90" s="489"/>
      <c r="D90" s="489"/>
      <c r="E90" s="489"/>
      <c r="F90" s="489"/>
      <c r="G90" s="489"/>
      <c r="H90" s="178">
        <f>SUM(H72:H89)</f>
        <v>0</v>
      </c>
      <c r="I90" s="490"/>
      <c r="J90" s="491"/>
      <c r="K90" s="179">
        <f>SUM(K72:K89)</f>
        <v>0</v>
      </c>
    </row>
    <row r="91" spans="1:11" s="183" customFormat="1" ht="15">
      <c r="A91" s="492" t="s">
        <v>209</v>
      </c>
      <c r="B91" s="493"/>
      <c r="C91" s="493"/>
      <c r="D91" s="493"/>
      <c r="E91" s="493"/>
      <c r="F91" s="493"/>
      <c r="G91" s="493"/>
      <c r="H91" s="493"/>
      <c r="I91" s="493"/>
      <c r="J91" s="493"/>
      <c r="K91" s="182">
        <f>K90+K66+K43</f>
        <v>0</v>
      </c>
    </row>
    <row r="92" spans="1:11" s="181" customFormat="1" ht="20.45" customHeight="1">
      <c r="A92" s="494" t="s">
        <v>210</v>
      </c>
      <c r="B92" s="494"/>
      <c r="C92" s="494"/>
      <c r="D92" s="494"/>
      <c r="E92" s="494"/>
      <c r="F92" s="494"/>
      <c r="G92" s="494"/>
      <c r="H92" s="494"/>
      <c r="I92" s="494"/>
      <c r="J92" s="494"/>
      <c r="K92" s="494"/>
    </row>
    <row r="93" spans="1:11" ht="34.35" customHeight="1">
      <c r="A93" s="474" t="s">
        <v>211</v>
      </c>
      <c r="B93" s="474"/>
      <c r="C93" s="474"/>
      <c r="D93" s="474"/>
      <c r="E93" s="474"/>
      <c r="F93" s="474"/>
      <c r="G93" s="474"/>
      <c r="H93" s="474"/>
      <c r="I93" s="474"/>
      <c r="J93" s="474"/>
      <c r="K93" s="184"/>
    </row>
    <row r="94" spans="1:11" ht="69.95">
      <c r="A94" s="436" t="s">
        <v>212</v>
      </c>
      <c r="B94" s="436" t="s">
        <v>213</v>
      </c>
      <c r="C94" s="436" t="s">
        <v>214</v>
      </c>
      <c r="D94" s="185" t="s">
        <v>215</v>
      </c>
      <c r="E94" s="185" t="s">
        <v>216</v>
      </c>
      <c r="F94" s="185" t="s">
        <v>217</v>
      </c>
      <c r="G94" s="185" t="s">
        <v>218</v>
      </c>
      <c r="H94" s="185" t="s">
        <v>219</v>
      </c>
      <c r="I94" s="185" t="s">
        <v>220</v>
      </c>
      <c r="J94" s="185" t="s">
        <v>221</v>
      </c>
      <c r="K94" s="184"/>
    </row>
    <row r="95" spans="1:11" ht="15.6">
      <c r="A95" s="437"/>
      <c r="B95" s="437"/>
      <c r="C95" s="437"/>
      <c r="D95" s="186" t="s">
        <v>222</v>
      </c>
      <c r="E95" s="186" t="s">
        <v>223</v>
      </c>
      <c r="F95" s="186" t="s">
        <v>185</v>
      </c>
      <c r="G95" s="186" t="s">
        <v>184</v>
      </c>
      <c r="H95" s="186" t="s">
        <v>224</v>
      </c>
      <c r="I95" s="186" t="s">
        <v>186</v>
      </c>
      <c r="J95" s="186" t="s">
        <v>187</v>
      </c>
      <c r="K95" s="184"/>
    </row>
    <row r="96" spans="1:11" s="173" customFormat="1" ht="8.1">
      <c r="A96" s="187">
        <v>1</v>
      </c>
      <c r="B96" s="187">
        <v>2</v>
      </c>
      <c r="C96" s="187">
        <v>3</v>
      </c>
      <c r="D96" s="187">
        <v>4</v>
      </c>
      <c r="E96" s="187">
        <v>5</v>
      </c>
      <c r="F96" s="187">
        <v>6</v>
      </c>
      <c r="G96" s="187">
        <v>7</v>
      </c>
      <c r="H96" s="187">
        <v>8</v>
      </c>
      <c r="I96" s="187">
        <v>9</v>
      </c>
      <c r="J96" s="187">
        <v>10</v>
      </c>
      <c r="K96" s="188"/>
    </row>
    <row r="97" spans="1:13" ht="15" customHeight="1">
      <c r="A97" s="460" t="s">
        <v>123</v>
      </c>
      <c r="B97" s="463" t="s">
        <v>170</v>
      </c>
      <c r="C97" s="189" t="s">
        <v>225</v>
      </c>
      <c r="D97" s="64"/>
      <c r="E97" s="65"/>
      <c r="F97" s="64"/>
      <c r="G97" s="190">
        <f>IFERROR(IF(D97=0,0,D97*E97*0.336),"")</f>
        <v>0</v>
      </c>
      <c r="H97" s="191"/>
      <c r="I97" s="67"/>
      <c r="J97" s="190">
        <f>IFERROR(G97*I97*F97/1000,"")</f>
        <v>0</v>
      </c>
      <c r="K97" s="184"/>
    </row>
    <row r="98" spans="1:13" ht="15" customHeight="1">
      <c r="A98" s="461"/>
      <c r="B98" s="464"/>
      <c r="C98" s="192" t="s">
        <v>226</v>
      </c>
      <c r="D98" s="193">
        <f>IF($D$97=0,0,$D$97)</f>
        <v>0</v>
      </c>
      <c r="E98" s="65"/>
      <c r="F98" s="64"/>
      <c r="G98" s="190">
        <f t="shared" ref="G98:G104" si="35">IFERROR(IF(D98=0,0,D98*E98*0.336),"")</f>
        <v>0</v>
      </c>
      <c r="H98" s="66"/>
      <c r="I98" s="178">
        <f>IF(E98="",0,I99-I99*H98)</f>
        <v>0</v>
      </c>
      <c r="J98" s="190">
        <f t="shared" ref="J98:J105" si="36">IFERROR(G98*I98*F98/1000,"")</f>
        <v>0</v>
      </c>
      <c r="K98" s="184"/>
    </row>
    <row r="99" spans="1:13" ht="15" customHeight="1">
      <c r="A99" s="462"/>
      <c r="B99" s="465"/>
      <c r="C99" s="192" t="s">
        <v>227</v>
      </c>
      <c r="D99" s="193">
        <f>IF($D$97=0,0,$D$97)</f>
        <v>0</v>
      </c>
      <c r="E99" s="65"/>
      <c r="F99" s="193">
        <f>IF(F97&gt;0,F97,0)</f>
        <v>0</v>
      </c>
      <c r="G99" s="190">
        <f t="shared" si="35"/>
        <v>0</v>
      </c>
      <c r="H99" s="191"/>
      <c r="I99" s="194">
        <f>I97</f>
        <v>0</v>
      </c>
      <c r="J99" s="190">
        <f t="shared" si="36"/>
        <v>0</v>
      </c>
      <c r="K99" s="184"/>
    </row>
    <row r="100" spans="1:13" ht="15" customHeight="1">
      <c r="A100" s="460" t="s">
        <v>125</v>
      </c>
      <c r="B100" s="463" t="s">
        <v>228</v>
      </c>
      <c r="C100" s="189" t="s">
        <v>225</v>
      </c>
      <c r="D100" s="64"/>
      <c r="E100" s="65"/>
      <c r="F100" s="64"/>
      <c r="G100" s="190">
        <f t="shared" si="35"/>
        <v>0</v>
      </c>
      <c r="H100" s="191"/>
      <c r="I100" s="67"/>
      <c r="J100" s="190">
        <f t="shared" si="36"/>
        <v>0</v>
      </c>
      <c r="K100" s="184"/>
    </row>
    <row r="101" spans="1:13" ht="15" customHeight="1">
      <c r="A101" s="461"/>
      <c r="B101" s="464"/>
      <c r="C101" s="192" t="s">
        <v>226</v>
      </c>
      <c r="D101" s="193">
        <f>IF($D$100="",0,$D$100)</f>
        <v>0</v>
      </c>
      <c r="E101" s="65"/>
      <c r="F101" s="64"/>
      <c r="G101" s="190">
        <f t="shared" si="35"/>
        <v>0</v>
      </c>
      <c r="H101" s="66"/>
      <c r="I101" s="178">
        <f>IF(E101="",0,I102-I102*H101)</f>
        <v>0</v>
      </c>
      <c r="J101" s="190">
        <f t="shared" si="36"/>
        <v>0</v>
      </c>
      <c r="K101" s="184"/>
    </row>
    <row r="102" spans="1:13" ht="15" customHeight="1">
      <c r="A102" s="462"/>
      <c r="B102" s="465"/>
      <c r="C102" s="192" t="s">
        <v>227</v>
      </c>
      <c r="D102" s="193">
        <f>IF($D$100="",0,$D$100)</f>
        <v>0</v>
      </c>
      <c r="E102" s="65"/>
      <c r="F102" s="193">
        <f>IF(F100&gt;0,F100,0)</f>
        <v>0</v>
      </c>
      <c r="G102" s="190">
        <f t="shared" si="35"/>
        <v>0</v>
      </c>
      <c r="H102" s="191"/>
      <c r="I102" s="194">
        <f>I100</f>
        <v>0</v>
      </c>
      <c r="J102" s="190">
        <f t="shared" si="36"/>
        <v>0</v>
      </c>
      <c r="K102" s="184"/>
    </row>
    <row r="103" spans="1:13" ht="15" customHeight="1">
      <c r="A103" s="466">
        <v>3</v>
      </c>
      <c r="B103" s="463" t="s">
        <v>207</v>
      </c>
      <c r="C103" s="189" t="s">
        <v>225</v>
      </c>
      <c r="D103" s="64"/>
      <c r="E103" s="65"/>
      <c r="F103" s="64"/>
      <c r="G103" s="190">
        <f t="shared" si="35"/>
        <v>0</v>
      </c>
      <c r="H103" s="191"/>
      <c r="I103" s="67"/>
      <c r="J103" s="190">
        <f t="shared" si="36"/>
        <v>0</v>
      </c>
      <c r="K103" s="184"/>
    </row>
    <row r="104" spans="1:13" ht="15" customHeight="1">
      <c r="A104" s="467"/>
      <c r="B104" s="464"/>
      <c r="C104" s="192" t="s">
        <v>226</v>
      </c>
      <c r="D104" s="193">
        <f>IF($D$103="",0,$D$103)</f>
        <v>0</v>
      </c>
      <c r="E104" s="65"/>
      <c r="F104" s="64"/>
      <c r="G104" s="190">
        <f t="shared" si="35"/>
        <v>0</v>
      </c>
      <c r="H104" s="66"/>
      <c r="I104" s="178">
        <f>IF(E104="",0,I105-I105*H104)</f>
        <v>0</v>
      </c>
      <c r="J104" s="190">
        <f t="shared" si="36"/>
        <v>0</v>
      </c>
      <c r="K104" s="184"/>
    </row>
    <row r="105" spans="1:13" ht="15" customHeight="1">
      <c r="A105" s="468"/>
      <c r="B105" s="465"/>
      <c r="C105" s="192" t="s">
        <v>227</v>
      </c>
      <c r="D105" s="193">
        <f>IF($D$103="",0,$D$103)</f>
        <v>0</v>
      </c>
      <c r="E105" s="65"/>
      <c r="F105" s="193">
        <f>IF(F103&gt;0,F103,0)</f>
        <v>0</v>
      </c>
      <c r="G105" s="190">
        <f t="shared" ref="G105" si="37">IFERROR(IF(D105="","",D105*E105*0.336),"")</f>
        <v>0</v>
      </c>
      <c r="H105" s="191"/>
      <c r="I105" s="194">
        <f>I103</f>
        <v>0</v>
      </c>
      <c r="J105" s="190">
        <f t="shared" si="36"/>
        <v>0</v>
      </c>
      <c r="K105" s="184"/>
    </row>
    <row r="106" spans="1:13" ht="15">
      <c r="A106" s="469" t="s">
        <v>229</v>
      </c>
      <c r="B106" s="470"/>
      <c r="C106" s="470"/>
      <c r="D106" s="470"/>
      <c r="E106" s="470"/>
      <c r="F106" s="470"/>
      <c r="G106" s="470"/>
      <c r="H106" s="470"/>
      <c r="I106" s="471"/>
      <c r="J106" s="195">
        <f>SUM(J97:J105)</f>
        <v>0</v>
      </c>
      <c r="K106" s="184"/>
    </row>
    <row r="107" spans="1:13" ht="16.350000000000001" customHeight="1">
      <c r="A107" s="196"/>
      <c r="B107" s="472"/>
      <c r="C107" s="472"/>
      <c r="D107" s="472"/>
      <c r="E107" s="472"/>
      <c r="F107" s="472"/>
      <c r="G107" s="472"/>
      <c r="H107" s="472"/>
      <c r="I107" s="472"/>
      <c r="J107" s="472"/>
      <c r="K107" s="184"/>
    </row>
    <row r="108" spans="1:13" s="138" customFormat="1" ht="15.6">
      <c r="A108" s="197" t="s">
        <v>230</v>
      </c>
      <c r="B108" s="473" t="s">
        <v>231</v>
      </c>
      <c r="C108" s="473"/>
      <c r="D108" s="473"/>
      <c r="E108" s="473"/>
      <c r="F108" s="473"/>
      <c r="G108" s="473"/>
      <c r="H108" s="473"/>
      <c r="I108" s="198"/>
      <c r="J108" s="199"/>
      <c r="K108" s="200"/>
      <c r="L108" s="201"/>
      <c r="M108" s="201"/>
    </row>
    <row r="109" spans="1:13" s="138" customFormat="1" ht="15.6">
      <c r="A109" s="202" t="s">
        <v>232</v>
      </c>
      <c r="B109" s="434" t="s">
        <v>233</v>
      </c>
      <c r="C109" s="434"/>
      <c r="D109" s="434"/>
      <c r="E109" s="434"/>
      <c r="F109" s="199"/>
      <c r="G109" s="199"/>
      <c r="H109" s="199"/>
      <c r="I109" s="203"/>
      <c r="J109" s="199"/>
      <c r="K109" s="200"/>
      <c r="L109" s="137"/>
      <c r="M109" s="137"/>
    </row>
    <row r="110" spans="1:13" s="138" customFormat="1" ht="30" customHeight="1">
      <c r="A110" s="435" t="s">
        <v>234</v>
      </c>
      <c r="B110" s="436" t="s">
        <v>213</v>
      </c>
      <c r="C110" s="454" t="s">
        <v>235</v>
      </c>
      <c r="D110" s="455"/>
      <c r="E110" s="456"/>
      <c r="F110" s="185" t="s">
        <v>172</v>
      </c>
      <c r="G110" s="438" t="s">
        <v>236</v>
      </c>
      <c r="H110" s="438" t="s">
        <v>237</v>
      </c>
      <c r="I110" s="185" t="s">
        <v>238</v>
      </c>
      <c r="J110" s="435" t="s">
        <v>239</v>
      </c>
      <c r="K110" s="435"/>
      <c r="L110" s="137"/>
      <c r="M110" s="137"/>
    </row>
    <row r="111" spans="1:13" s="142" customFormat="1" ht="13.35" customHeight="1">
      <c r="A111" s="435"/>
      <c r="B111" s="437"/>
      <c r="C111" s="457"/>
      <c r="D111" s="458"/>
      <c r="E111" s="459"/>
      <c r="F111" s="204" t="s">
        <v>180</v>
      </c>
      <c r="G111" s="438"/>
      <c r="H111" s="438"/>
      <c r="I111" s="204" t="s">
        <v>240</v>
      </c>
      <c r="J111" s="453" t="s">
        <v>88</v>
      </c>
      <c r="K111" s="453"/>
      <c r="L111" s="141"/>
      <c r="M111" s="141"/>
    </row>
    <row r="112" spans="1:13" s="147" customFormat="1" ht="8.1">
      <c r="A112" s="205">
        <v>1</v>
      </c>
      <c r="B112" s="205">
        <v>2</v>
      </c>
      <c r="C112" s="431">
        <v>3</v>
      </c>
      <c r="D112" s="433"/>
      <c r="E112" s="432"/>
      <c r="F112" s="207">
        <v>4</v>
      </c>
      <c r="G112" s="207">
        <v>5</v>
      </c>
      <c r="H112" s="208">
        <v>6</v>
      </c>
      <c r="I112" s="208">
        <v>7</v>
      </c>
      <c r="J112" s="431">
        <v>8</v>
      </c>
      <c r="K112" s="432"/>
      <c r="L112" s="146"/>
      <c r="M112" s="146"/>
    </row>
    <row r="113" spans="1:13" s="138" customFormat="1" ht="15.6">
      <c r="A113" s="442" t="s">
        <v>123</v>
      </c>
      <c r="B113" s="445" t="s">
        <v>170</v>
      </c>
      <c r="C113" s="449" t="s">
        <v>241</v>
      </c>
      <c r="D113" s="450"/>
      <c r="E113" s="450"/>
      <c r="F113" s="58"/>
      <c r="G113" s="68"/>
      <c r="H113" s="68"/>
      <c r="I113" s="68"/>
      <c r="J113" s="375">
        <f>IFERROR(IF(F113=0,0,F113*G113*H113*I113),0)</f>
        <v>0</v>
      </c>
      <c r="K113" s="448"/>
      <c r="L113" s="137"/>
      <c r="M113" s="137"/>
    </row>
    <row r="114" spans="1:13" s="138" customFormat="1" ht="15.6">
      <c r="A114" s="443"/>
      <c r="B114" s="446"/>
      <c r="C114" s="449" t="s">
        <v>242</v>
      </c>
      <c r="D114" s="450"/>
      <c r="E114" s="450"/>
      <c r="F114" s="58"/>
      <c r="G114" s="68"/>
      <c r="H114" s="68"/>
      <c r="I114" s="68"/>
      <c r="J114" s="375">
        <f t="shared" ref="J114:J117" si="38">IFERROR(IF(F114=0,0,F114*G114*H114*I114),0)</f>
        <v>0</v>
      </c>
      <c r="K114" s="448"/>
      <c r="L114" s="137"/>
      <c r="M114" s="137"/>
    </row>
    <row r="115" spans="1:13" s="138" customFormat="1" ht="15.6">
      <c r="A115" s="443"/>
      <c r="B115" s="446"/>
      <c r="C115" s="449" t="s">
        <v>243</v>
      </c>
      <c r="D115" s="450"/>
      <c r="E115" s="450"/>
      <c r="F115" s="58"/>
      <c r="G115" s="68"/>
      <c r="H115" s="68"/>
      <c r="I115" s="68"/>
      <c r="J115" s="375">
        <f t="shared" si="38"/>
        <v>0</v>
      </c>
      <c r="K115" s="448"/>
      <c r="L115" s="137"/>
      <c r="M115" s="137"/>
    </row>
    <row r="116" spans="1:13" s="138" customFormat="1" ht="15.6">
      <c r="A116" s="443"/>
      <c r="B116" s="446"/>
      <c r="C116" s="449" t="s">
        <v>244</v>
      </c>
      <c r="D116" s="450"/>
      <c r="E116" s="450"/>
      <c r="F116" s="58"/>
      <c r="G116" s="68"/>
      <c r="H116" s="68"/>
      <c r="I116" s="68"/>
      <c r="J116" s="375">
        <f t="shared" si="38"/>
        <v>0</v>
      </c>
      <c r="K116" s="448"/>
      <c r="L116" s="137"/>
      <c r="M116" s="137"/>
    </row>
    <row r="117" spans="1:13" s="138" customFormat="1" ht="15.6">
      <c r="A117" s="443"/>
      <c r="B117" s="446"/>
      <c r="C117" s="449" t="s">
        <v>245</v>
      </c>
      <c r="D117" s="450"/>
      <c r="E117" s="450"/>
      <c r="F117" s="58"/>
      <c r="G117" s="68"/>
      <c r="H117" s="68"/>
      <c r="I117" s="68"/>
      <c r="J117" s="375">
        <f t="shared" si="38"/>
        <v>0</v>
      </c>
      <c r="K117" s="448"/>
      <c r="L117" s="137"/>
      <c r="M117" s="137"/>
    </row>
    <row r="118" spans="1:13" s="138" customFormat="1" ht="15.6">
      <c r="A118" s="444"/>
      <c r="B118" s="447"/>
      <c r="C118" s="449" t="s">
        <v>246</v>
      </c>
      <c r="D118" s="450"/>
      <c r="E118" s="450"/>
      <c r="F118" s="450"/>
      <c r="G118" s="450"/>
      <c r="H118" s="450"/>
      <c r="I118" s="450"/>
      <c r="J118" s="451"/>
      <c r="K118" s="452"/>
      <c r="L118" s="137"/>
      <c r="M118" s="137"/>
    </row>
    <row r="119" spans="1:13" s="138" customFormat="1" ht="15.6">
      <c r="A119" s="442" t="s">
        <v>125</v>
      </c>
      <c r="B119" s="445" t="s">
        <v>247</v>
      </c>
      <c r="C119" s="449" t="s">
        <v>241</v>
      </c>
      <c r="D119" s="450"/>
      <c r="E119" s="450"/>
      <c r="F119" s="58"/>
      <c r="G119" s="68"/>
      <c r="H119" s="68"/>
      <c r="I119" s="68"/>
      <c r="J119" s="375">
        <f>IFERROR(IF(F119=0,0,F119*G119*H119*I119),0)</f>
        <v>0</v>
      </c>
      <c r="K119" s="448"/>
      <c r="L119" s="137"/>
      <c r="M119" s="137"/>
    </row>
    <row r="120" spans="1:13" s="138" customFormat="1" ht="15.6">
      <c r="A120" s="443"/>
      <c r="B120" s="446"/>
      <c r="C120" s="449" t="s">
        <v>242</v>
      </c>
      <c r="D120" s="450"/>
      <c r="E120" s="450"/>
      <c r="F120" s="58"/>
      <c r="G120" s="68"/>
      <c r="H120" s="68"/>
      <c r="I120" s="68"/>
      <c r="J120" s="375">
        <f t="shared" ref="J120:J123" si="39">IFERROR(IF(F120=0,0,F120*G120*H120*I120),0)</f>
        <v>0</v>
      </c>
      <c r="K120" s="448"/>
      <c r="L120" s="137"/>
      <c r="M120" s="137"/>
    </row>
    <row r="121" spans="1:13" s="138" customFormat="1" ht="15.6">
      <c r="A121" s="443"/>
      <c r="B121" s="446"/>
      <c r="C121" s="449" t="s">
        <v>243</v>
      </c>
      <c r="D121" s="450"/>
      <c r="E121" s="450"/>
      <c r="F121" s="58"/>
      <c r="G121" s="68"/>
      <c r="H121" s="68"/>
      <c r="I121" s="68"/>
      <c r="J121" s="375">
        <f t="shared" si="39"/>
        <v>0</v>
      </c>
      <c r="K121" s="448"/>
      <c r="L121" s="137"/>
      <c r="M121" s="137"/>
    </row>
    <row r="122" spans="1:13" s="138" customFormat="1" ht="15.6">
      <c r="A122" s="443"/>
      <c r="B122" s="446"/>
      <c r="C122" s="449" t="s">
        <v>244</v>
      </c>
      <c r="D122" s="450"/>
      <c r="E122" s="450"/>
      <c r="F122" s="58"/>
      <c r="G122" s="68"/>
      <c r="H122" s="68"/>
      <c r="I122" s="68"/>
      <c r="J122" s="375">
        <f t="shared" si="39"/>
        <v>0</v>
      </c>
      <c r="K122" s="448"/>
      <c r="L122" s="137"/>
      <c r="M122" s="137"/>
    </row>
    <row r="123" spans="1:13" s="138" customFormat="1" ht="15.6">
      <c r="A123" s="443"/>
      <c r="B123" s="446"/>
      <c r="C123" s="449" t="s">
        <v>245</v>
      </c>
      <c r="D123" s="450"/>
      <c r="E123" s="450"/>
      <c r="F123" s="58"/>
      <c r="G123" s="68"/>
      <c r="H123" s="68"/>
      <c r="I123" s="68"/>
      <c r="J123" s="375">
        <f t="shared" si="39"/>
        <v>0</v>
      </c>
      <c r="K123" s="448"/>
      <c r="L123" s="137"/>
      <c r="M123" s="137"/>
    </row>
    <row r="124" spans="1:13" s="138" customFormat="1" ht="15.6">
      <c r="A124" s="444"/>
      <c r="B124" s="447"/>
      <c r="C124" s="449" t="s">
        <v>246</v>
      </c>
      <c r="D124" s="450"/>
      <c r="E124" s="450"/>
      <c r="F124" s="450"/>
      <c r="G124" s="450"/>
      <c r="H124" s="450"/>
      <c r="I124" s="450"/>
      <c r="J124" s="451"/>
      <c r="K124" s="452"/>
      <c r="L124" s="137"/>
      <c r="M124" s="137"/>
    </row>
    <row r="125" spans="1:13" s="138" customFormat="1" ht="15.6">
      <c r="A125" s="442" t="s">
        <v>127</v>
      </c>
      <c r="B125" s="445" t="s">
        <v>248</v>
      </c>
      <c r="C125" s="449" t="s">
        <v>241</v>
      </c>
      <c r="D125" s="450"/>
      <c r="E125" s="450"/>
      <c r="F125" s="58"/>
      <c r="G125" s="68"/>
      <c r="H125" s="68"/>
      <c r="I125" s="68"/>
      <c r="J125" s="375">
        <f>IFERROR(IF(F125=0,0,F125*G125*H125*I125),0)</f>
        <v>0</v>
      </c>
      <c r="K125" s="448"/>
      <c r="L125" s="137"/>
      <c r="M125" s="137"/>
    </row>
    <row r="126" spans="1:13" s="138" customFormat="1" ht="15.6">
      <c r="A126" s="443"/>
      <c r="B126" s="446"/>
      <c r="C126" s="449" t="s">
        <v>242</v>
      </c>
      <c r="D126" s="450"/>
      <c r="E126" s="450"/>
      <c r="F126" s="58"/>
      <c r="G126" s="68"/>
      <c r="H126" s="68"/>
      <c r="I126" s="68"/>
      <c r="J126" s="375">
        <f t="shared" ref="J126:J129" si="40">IFERROR(IF(F126=0,0,F126*G126*H126*I126),0)</f>
        <v>0</v>
      </c>
      <c r="K126" s="448"/>
      <c r="L126" s="137"/>
      <c r="M126" s="137"/>
    </row>
    <row r="127" spans="1:13" s="138" customFormat="1" ht="15.6">
      <c r="A127" s="443"/>
      <c r="B127" s="446"/>
      <c r="C127" s="449" t="s">
        <v>243</v>
      </c>
      <c r="D127" s="450"/>
      <c r="E127" s="450"/>
      <c r="F127" s="58"/>
      <c r="G127" s="68"/>
      <c r="H127" s="68"/>
      <c r="I127" s="68"/>
      <c r="J127" s="375">
        <f t="shared" si="40"/>
        <v>0</v>
      </c>
      <c r="K127" s="448"/>
      <c r="L127" s="137"/>
      <c r="M127" s="137"/>
    </row>
    <row r="128" spans="1:13" s="138" customFormat="1" ht="15.6">
      <c r="A128" s="443"/>
      <c r="B128" s="446"/>
      <c r="C128" s="449" t="s">
        <v>244</v>
      </c>
      <c r="D128" s="450"/>
      <c r="E128" s="450"/>
      <c r="F128" s="58"/>
      <c r="G128" s="68"/>
      <c r="H128" s="68"/>
      <c r="I128" s="68"/>
      <c r="J128" s="375">
        <f t="shared" si="40"/>
        <v>0</v>
      </c>
      <c r="K128" s="448"/>
      <c r="L128" s="137"/>
      <c r="M128" s="137"/>
    </row>
    <row r="129" spans="1:13" s="138" customFormat="1" ht="15.6">
      <c r="A129" s="443"/>
      <c r="B129" s="446"/>
      <c r="C129" s="449" t="s">
        <v>245</v>
      </c>
      <c r="D129" s="450"/>
      <c r="E129" s="450"/>
      <c r="F129" s="58"/>
      <c r="G129" s="68"/>
      <c r="H129" s="68"/>
      <c r="I129" s="68"/>
      <c r="J129" s="375">
        <f t="shared" si="40"/>
        <v>0</v>
      </c>
      <c r="K129" s="448"/>
      <c r="L129" s="137"/>
      <c r="M129" s="137"/>
    </row>
    <row r="130" spans="1:13" s="138" customFormat="1" ht="15.6">
      <c r="A130" s="444"/>
      <c r="B130" s="447"/>
      <c r="C130" s="449" t="s">
        <v>246</v>
      </c>
      <c r="D130" s="450"/>
      <c r="E130" s="450"/>
      <c r="F130" s="450"/>
      <c r="G130" s="450"/>
      <c r="H130" s="450"/>
      <c r="I130" s="450"/>
      <c r="J130" s="451"/>
      <c r="K130" s="452"/>
      <c r="L130" s="137"/>
      <c r="M130" s="137"/>
    </row>
    <row r="131" spans="1:13" s="138" customFormat="1" ht="15.6">
      <c r="A131" s="202" t="s">
        <v>249</v>
      </c>
      <c r="B131" s="434" t="s">
        <v>250</v>
      </c>
      <c r="C131" s="434"/>
      <c r="D131" s="434"/>
      <c r="E131" s="434"/>
      <c r="F131" s="434"/>
      <c r="G131" s="209"/>
      <c r="H131" s="199"/>
      <c r="I131" s="203"/>
      <c r="J131" s="199"/>
      <c r="K131" s="200"/>
      <c r="L131" s="137"/>
      <c r="M131" s="137"/>
    </row>
    <row r="132" spans="1:13" s="138" customFormat="1" ht="41.45" customHeight="1">
      <c r="A132" s="435" t="s">
        <v>234</v>
      </c>
      <c r="B132" s="436" t="s">
        <v>213</v>
      </c>
      <c r="C132" s="435" t="s">
        <v>251</v>
      </c>
      <c r="D132" s="435"/>
      <c r="E132" s="438" t="s">
        <v>252</v>
      </c>
      <c r="F132" s="438"/>
      <c r="G132" s="438" t="s">
        <v>233</v>
      </c>
      <c r="H132" s="438"/>
      <c r="I132" s="438" t="s">
        <v>253</v>
      </c>
      <c r="J132" s="435" t="s">
        <v>254</v>
      </c>
      <c r="K132" s="435"/>
      <c r="L132" s="137"/>
      <c r="M132" s="137"/>
    </row>
    <row r="133" spans="1:13" s="142" customFormat="1" ht="13.35" customHeight="1">
      <c r="A133" s="435"/>
      <c r="B133" s="437"/>
      <c r="C133" s="439" t="s">
        <v>255</v>
      </c>
      <c r="D133" s="439"/>
      <c r="E133" s="440" t="s">
        <v>88</v>
      </c>
      <c r="F133" s="440"/>
      <c r="G133" s="440" t="s">
        <v>88</v>
      </c>
      <c r="H133" s="440"/>
      <c r="I133" s="438"/>
      <c r="J133" s="441" t="s">
        <v>88</v>
      </c>
      <c r="K133" s="441"/>
      <c r="L133" s="141"/>
      <c r="M133" s="141"/>
    </row>
    <row r="134" spans="1:13" s="147" customFormat="1" ht="8.1">
      <c r="A134" s="205">
        <v>1</v>
      </c>
      <c r="B134" s="205">
        <v>2</v>
      </c>
      <c r="C134" s="431">
        <v>3</v>
      </c>
      <c r="D134" s="432"/>
      <c r="E134" s="431">
        <v>4</v>
      </c>
      <c r="F134" s="432"/>
      <c r="G134" s="431">
        <v>5</v>
      </c>
      <c r="H134" s="432"/>
      <c r="I134" s="206">
        <v>6</v>
      </c>
      <c r="J134" s="433">
        <v>7</v>
      </c>
      <c r="K134" s="432"/>
      <c r="L134" s="146"/>
      <c r="M134" s="146"/>
    </row>
    <row r="135" spans="1:13" s="138" customFormat="1" ht="15.6">
      <c r="A135" s="210" t="s">
        <v>123</v>
      </c>
      <c r="B135" s="211" t="s">
        <v>170</v>
      </c>
      <c r="C135" s="421"/>
      <c r="D135" s="422"/>
      <c r="E135" s="375">
        <f>IFERROR(C135*I9*'1.sadaļa'!$E$5/1000,0)</f>
        <v>0</v>
      </c>
      <c r="F135" s="376"/>
      <c r="G135" s="423">
        <f>IFERROR(IF(J113="",0,SUM(J113:K118)),"")</f>
        <v>0</v>
      </c>
      <c r="H135" s="423"/>
      <c r="I135" s="69"/>
      <c r="J135" s="423">
        <f>IFERROR((E135+G135)*I135,"")</f>
        <v>0</v>
      </c>
      <c r="K135" s="423"/>
      <c r="L135" s="137"/>
      <c r="M135" s="137"/>
    </row>
    <row r="136" spans="1:13" s="138" customFormat="1" ht="15.6">
      <c r="A136" s="210" t="s">
        <v>125</v>
      </c>
      <c r="B136" s="211" t="s">
        <v>228</v>
      </c>
      <c r="C136" s="421"/>
      <c r="D136" s="422"/>
      <c r="E136" s="375">
        <f>IFERROR(C136*I48*'1.sadaļa'!$E$5/1000,0)</f>
        <v>0</v>
      </c>
      <c r="F136" s="376"/>
      <c r="G136" s="423">
        <f>IFERROR(IF(J119="","",SUM(J119:K124)),"")</f>
        <v>0</v>
      </c>
      <c r="H136" s="423"/>
      <c r="I136" s="69"/>
      <c r="J136" s="423">
        <f t="shared" ref="J136:J137" si="41">IFERROR((E136+G136)*I136,"")</f>
        <v>0</v>
      </c>
      <c r="K136" s="423"/>
      <c r="L136" s="137"/>
      <c r="M136" s="137"/>
    </row>
    <row r="137" spans="1:13" s="138" customFormat="1" ht="15.6">
      <c r="A137" s="212">
        <v>3</v>
      </c>
      <c r="B137" s="211" t="s">
        <v>248</v>
      </c>
      <c r="C137" s="421"/>
      <c r="D137" s="422"/>
      <c r="E137" s="375">
        <f>IFERROR(C137*I72*'1.sadaļa'!$E$5/1000,0)</f>
        <v>0</v>
      </c>
      <c r="F137" s="376"/>
      <c r="G137" s="423">
        <f>IFERROR(IF(J125="","",SUM(J125:K130)),"")</f>
        <v>0</v>
      </c>
      <c r="H137" s="423"/>
      <c r="I137" s="69"/>
      <c r="J137" s="423">
        <f t="shared" si="41"/>
        <v>0</v>
      </c>
      <c r="K137" s="423"/>
      <c r="L137" s="137"/>
      <c r="M137" s="137"/>
    </row>
    <row r="138" spans="1:13" s="138" customFormat="1" ht="15.6">
      <c r="A138" s="424" t="s">
        <v>256</v>
      </c>
      <c r="B138" s="425"/>
      <c r="C138" s="425"/>
      <c r="D138" s="425"/>
      <c r="E138" s="425"/>
      <c r="F138" s="425"/>
      <c r="G138" s="425"/>
      <c r="H138" s="425"/>
      <c r="I138" s="425"/>
      <c r="J138" s="426">
        <f>SUM(J135:K137)</f>
        <v>0</v>
      </c>
      <c r="K138" s="426"/>
      <c r="L138" s="137"/>
      <c r="M138" s="137"/>
    </row>
    <row r="139" spans="1:13" s="142" customFormat="1" ht="18.600000000000001" customHeight="1">
      <c r="A139" s="427"/>
      <c r="B139" s="427"/>
      <c r="C139" s="427"/>
      <c r="D139" s="427"/>
      <c r="E139" s="428"/>
      <c r="F139" s="428"/>
      <c r="G139" s="428"/>
      <c r="H139" s="428"/>
      <c r="I139" s="428"/>
      <c r="J139" s="428"/>
      <c r="K139" s="428"/>
    </row>
    <row r="140" spans="1:13" ht="5.0999999999999996" customHeight="1">
      <c r="A140" s="213"/>
      <c r="B140" s="214"/>
      <c r="C140" s="214"/>
      <c r="D140" s="214"/>
      <c r="E140" s="214"/>
      <c r="F140" s="128"/>
      <c r="G140" s="215"/>
      <c r="H140" s="215"/>
      <c r="I140" s="216" t="s">
        <v>257</v>
      </c>
      <c r="J140" s="215"/>
      <c r="K140" s="217"/>
    </row>
    <row r="141" spans="1:13" ht="27" customHeight="1">
      <c r="A141" s="218"/>
      <c r="B141" s="218"/>
      <c r="C141" s="218"/>
      <c r="D141" s="218"/>
      <c r="E141" s="218"/>
      <c r="F141" s="218"/>
      <c r="G141" s="218"/>
      <c r="H141" s="429" t="s">
        <v>258</v>
      </c>
      <c r="I141" s="429"/>
      <c r="J141" s="430" t="s">
        <v>88</v>
      </c>
      <c r="K141" s="430"/>
    </row>
    <row r="142" spans="1:13" s="219" customFormat="1" ht="33" customHeight="1">
      <c r="A142" s="413" t="s">
        <v>259</v>
      </c>
      <c r="B142" s="414"/>
      <c r="C142" s="414"/>
      <c r="D142" s="414"/>
      <c r="E142" s="414"/>
      <c r="F142" s="414"/>
      <c r="G142" s="415"/>
      <c r="H142" s="416">
        <f>IFERROR(J142/('1.sadaļa'!E5),0)</f>
        <v>0</v>
      </c>
      <c r="I142" s="416"/>
      <c r="J142" s="417">
        <f>K91+J106-J138</f>
        <v>0</v>
      </c>
      <c r="K142" s="417"/>
    </row>
  </sheetData>
  <sheetProtection algorithmName="SHA-512" hashValue="EqbA2F66IY3u0FJlO/n7RFCP1rLHjfMMA4rmS3olRGFUQx88G7svmotp953wNPaYs5ggoIbhLwX7M61u1otejw==" saltValue="PY4kUnVcVpXvGyL/pUmIRg==" spinCount="100000" sheet="1" objects="1" scenarios="1"/>
  <mergeCells count="152">
    <mergeCell ref="A31:A36"/>
    <mergeCell ref="B31:B36"/>
    <mergeCell ref="A37:A42"/>
    <mergeCell ref="B37:B42"/>
    <mergeCell ref="A43:G43"/>
    <mergeCell ref="I43:J43"/>
    <mergeCell ref="A44:K44"/>
    <mergeCell ref="A45:A46"/>
    <mergeCell ref="A1:K1"/>
    <mergeCell ref="A5:K5"/>
    <mergeCell ref="A6:A7"/>
    <mergeCell ref="B6:C7"/>
    <mergeCell ref="A9:A18"/>
    <mergeCell ref="B9:B18"/>
    <mergeCell ref="A19:A24"/>
    <mergeCell ref="B19:B24"/>
    <mergeCell ref="A25:A30"/>
    <mergeCell ref="B25:B30"/>
    <mergeCell ref="B45:C46"/>
    <mergeCell ref="C2:K2"/>
    <mergeCell ref="B3:C3"/>
    <mergeCell ref="A48:A53"/>
    <mergeCell ref="B48:B53"/>
    <mergeCell ref="A54:A56"/>
    <mergeCell ref="B54:B56"/>
    <mergeCell ref="A57:A59"/>
    <mergeCell ref="B57:B59"/>
    <mergeCell ref="A91:J91"/>
    <mergeCell ref="A92:K92"/>
    <mergeCell ref="A60:A62"/>
    <mergeCell ref="B60:B62"/>
    <mergeCell ref="A63:A65"/>
    <mergeCell ref="B63:B65"/>
    <mergeCell ref="A66:G66"/>
    <mergeCell ref="I66:J66"/>
    <mergeCell ref="A94:A95"/>
    <mergeCell ref="B94:B95"/>
    <mergeCell ref="C94:C95"/>
    <mergeCell ref="A93:J93"/>
    <mergeCell ref="A68:K68"/>
    <mergeCell ref="A69:A70"/>
    <mergeCell ref="B69:C70"/>
    <mergeCell ref="A72:A77"/>
    <mergeCell ref="B72:B77"/>
    <mergeCell ref="A78:A80"/>
    <mergeCell ref="B78:B80"/>
    <mergeCell ref="A81:A83"/>
    <mergeCell ref="B81:B83"/>
    <mergeCell ref="A84:A86"/>
    <mergeCell ref="B84:B86"/>
    <mergeCell ref="A87:A89"/>
    <mergeCell ref="B87:B89"/>
    <mergeCell ref="A90:G90"/>
    <mergeCell ref="I90:J90"/>
    <mergeCell ref="B109:E109"/>
    <mergeCell ref="A110:A111"/>
    <mergeCell ref="B110:B111"/>
    <mergeCell ref="G110:G111"/>
    <mergeCell ref="H110:H111"/>
    <mergeCell ref="J110:K110"/>
    <mergeCell ref="J111:K111"/>
    <mergeCell ref="C110:E111"/>
    <mergeCell ref="A97:A99"/>
    <mergeCell ref="B97:B99"/>
    <mergeCell ref="A100:A102"/>
    <mergeCell ref="B100:B102"/>
    <mergeCell ref="A103:A105"/>
    <mergeCell ref="B103:B105"/>
    <mergeCell ref="A106:I106"/>
    <mergeCell ref="B107:J107"/>
    <mergeCell ref="B108:H108"/>
    <mergeCell ref="J112:K112"/>
    <mergeCell ref="A113:A118"/>
    <mergeCell ref="B113:B118"/>
    <mergeCell ref="J113:K113"/>
    <mergeCell ref="J114:K114"/>
    <mergeCell ref="J115:K115"/>
    <mergeCell ref="J116:K116"/>
    <mergeCell ref="J117:K117"/>
    <mergeCell ref="C118:I118"/>
    <mergeCell ref="J118:K118"/>
    <mergeCell ref="C113:E113"/>
    <mergeCell ref="C114:E114"/>
    <mergeCell ref="C112:E112"/>
    <mergeCell ref="C115:E115"/>
    <mergeCell ref="C116:E116"/>
    <mergeCell ref="C117:E117"/>
    <mergeCell ref="A119:A124"/>
    <mergeCell ref="B119:B124"/>
    <mergeCell ref="J119:K119"/>
    <mergeCell ref="J120:K120"/>
    <mergeCell ref="J121:K121"/>
    <mergeCell ref="J122:K122"/>
    <mergeCell ref="J123:K123"/>
    <mergeCell ref="C124:I124"/>
    <mergeCell ref="J124:K124"/>
    <mergeCell ref="C119:E119"/>
    <mergeCell ref="C120:E120"/>
    <mergeCell ref="C121:E121"/>
    <mergeCell ref="C122:E122"/>
    <mergeCell ref="C123:E123"/>
    <mergeCell ref="A125:A130"/>
    <mergeCell ref="B125:B130"/>
    <mergeCell ref="J125:K125"/>
    <mergeCell ref="J126:K126"/>
    <mergeCell ref="J127:K127"/>
    <mergeCell ref="J128:K128"/>
    <mergeCell ref="J129:K129"/>
    <mergeCell ref="C130:I130"/>
    <mergeCell ref="J130:K130"/>
    <mergeCell ref="C125:E125"/>
    <mergeCell ref="C126:E126"/>
    <mergeCell ref="C127:E127"/>
    <mergeCell ref="C128:E128"/>
    <mergeCell ref="C129:E129"/>
    <mergeCell ref="J136:K136"/>
    <mergeCell ref="B131:F131"/>
    <mergeCell ref="A132:A133"/>
    <mergeCell ref="B132:B133"/>
    <mergeCell ref="C132:D132"/>
    <mergeCell ref="E132:F132"/>
    <mergeCell ref="G132:H132"/>
    <mergeCell ref="I132:I133"/>
    <mergeCell ref="J132:K132"/>
    <mergeCell ref="C133:D133"/>
    <mergeCell ref="E133:F133"/>
    <mergeCell ref="G133:H133"/>
    <mergeCell ref="J133:K133"/>
    <mergeCell ref="A142:G142"/>
    <mergeCell ref="H142:I142"/>
    <mergeCell ref="J142:K142"/>
    <mergeCell ref="A4:K4"/>
    <mergeCell ref="C137:D137"/>
    <mergeCell ref="E137:F137"/>
    <mergeCell ref="G137:H137"/>
    <mergeCell ref="J137:K137"/>
    <mergeCell ref="A138:I138"/>
    <mergeCell ref="J138:K138"/>
    <mergeCell ref="A139:K139"/>
    <mergeCell ref="H141:I141"/>
    <mergeCell ref="J141:K141"/>
    <mergeCell ref="C134:D134"/>
    <mergeCell ref="E134:F134"/>
    <mergeCell ref="G134:H134"/>
    <mergeCell ref="J134:K134"/>
    <mergeCell ref="C135:D135"/>
    <mergeCell ref="E135:F135"/>
    <mergeCell ref="G135:H135"/>
    <mergeCell ref="J135:K135"/>
    <mergeCell ref="C136:D136"/>
    <mergeCell ref="E136:F136"/>
    <mergeCell ref="G136:H136"/>
  </mergeCells>
  <phoneticPr fontId="28" type="noConversion"/>
  <conditionalFormatting sqref="A4:K142">
    <cfRule type="expression" dxfId="150" priority="1">
      <formula>$B$2="Jā"</formula>
    </cfRule>
  </conditionalFormatting>
  <conditionalFormatting sqref="B2">
    <cfRule type="expression" dxfId="149" priority="2">
      <formula>$B$2="Jā"</formula>
    </cfRule>
  </conditionalFormatting>
  <conditionalFormatting sqref="B3:C3">
    <cfRule type="expression" dxfId="148" priority="3">
      <formula>$B$2="Jā"</formula>
    </cfRule>
  </conditionalFormatting>
  <conditionalFormatting sqref="C135:D137">
    <cfRule type="expression" dxfId="147" priority="10">
      <formula>C135=""</formula>
    </cfRule>
  </conditionalFormatting>
  <conditionalFormatting sqref="D97">
    <cfRule type="expression" dxfId="146" priority="45">
      <formula>D97=""</formula>
    </cfRule>
  </conditionalFormatting>
  <conditionalFormatting sqref="D100">
    <cfRule type="expression" dxfId="145" priority="44">
      <formula>D100=""</formula>
    </cfRule>
  </conditionalFormatting>
  <conditionalFormatting sqref="D103">
    <cfRule type="expression" dxfId="144" priority="43">
      <formula>D103=""</formula>
    </cfRule>
  </conditionalFormatting>
  <conditionalFormatting sqref="D9:G42">
    <cfRule type="expression" dxfId="143" priority="59">
      <formula>D9=""</formula>
    </cfRule>
  </conditionalFormatting>
  <conditionalFormatting sqref="D48:G65">
    <cfRule type="expression" dxfId="142" priority="53">
      <formula>D48=""</formula>
    </cfRule>
  </conditionalFormatting>
  <conditionalFormatting sqref="D72:G89">
    <cfRule type="expression" dxfId="141" priority="49">
      <formula>D72=""</formula>
    </cfRule>
  </conditionalFormatting>
  <conditionalFormatting sqref="E97:E105">
    <cfRule type="expression" dxfId="140" priority="32">
      <formula>E97=""</formula>
    </cfRule>
  </conditionalFormatting>
  <conditionalFormatting sqref="F97:F98">
    <cfRule type="expression" dxfId="139" priority="38">
      <formula>F97=""</formula>
    </cfRule>
  </conditionalFormatting>
  <conditionalFormatting sqref="F100:F101">
    <cfRule type="expression" dxfId="138" priority="37">
      <formula>F100=""</formula>
    </cfRule>
  </conditionalFormatting>
  <conditionalFormatting sqref="F103:F104">
    <cfRule type="expression" dxfId="137" priority="36">
      <formula>F103=""</formula>
    </cfRule>
  </conditionalFormatting>
  <conditionalFormatting sqref="F113:I117">
    <cfRule type="expression" dxfId="136" priority="18">
      <formula>F113=""</formula>
    </cfRule>
  </conditionalFormatting>
  <conditionalFormatting sqref="F119:I123">
    <cfRule type="expression" dxfId="135" priority="15">
      <formula>F119=""</formula>
    </cfRule>
  </conditionalFormatting>
  <conditionalFormatting sqref="F125:I129">
    <cfRule type="expression" dxfId="134" priority="14">
      <formula>F125=""</formula>
    </cfRule>
  </conditionalFormatting>
  <conditionalFormatting sqref="H98">
    <cfRule type="expression" dxfId="133" priority="24">
      <formula>H98=""</formula>
    </cfRule>
  </conditionalFormatting>
  <conditionalFormatting sqref="H101">
    <cfRule type="expression" dxfId="132" priority="23">
      <formula>H101=""</formula>
    </cfRule>
  </conditionalFormatting>
  <conditionalFormatting sqref="H104">
    <cfRule type="expression" dxfId="131" priority="22">
      <formula>H104=""</formula>
    </cfRule>
  </conditionalFormatting>
  <conditionalFormatting sqref="H142:I142">
    <cfRule type="expression" dxfId="130" priority="60">
      <formula>$H$142&gt;90</formula>
    </cfRule>
  </conditionalFormatting>
  <conditionalFormatting sqref="I9">
    <cfRule type="expression" dxfId="129" priority="58">
      <formula>I9=""</formula>
    </cfRule>
  </conditionalFormatting>
  <conditionalFormatting sqref="I97">
    <cfRule type="expression" dxfId="128" priority="31">
      <formula>I97=""</formula>
    </cfRule>
  </conditionalFormatting>
  <conditionalFormatting sqref="I100">
    <cfRule type="expression" dxfId="127" priority="28">
      <formula>I100=""</formula>
    </cfRule>
  </conditionalFormatting>
  <conditionalFormatting sqref="I103">
    <cfRule type="expression" dxfId="126" priority="26">
      <formula>I103=""</formula>
    </cfRule>
  </conditionalFormatting>
  <conditionalFormatting sqref="I135:I137">
    <cfRule type="expression" dxfId="125" priority="9">
      <formula>I135=""</formula>
    </cfRule>
  </conditionalFormatting>
  <conditionalFormatting sqref="I48:J48">
    <cfRule type="expression" dxfId="124" priority="8">
      <formula>I48=""</formula>
    </cfRule>
  </conditionalFormatting>
  <conditionalFormatting sqref="I72:J72">
    <cfRule type="expression" dxfId="123" priority="5">
      <formula>I72=""</formula>
    </cfRule>
  </conditionalFormatting>
  <conditionalFormatting sqref="J9">
    <cfRule type="expression" dxfId="122" priority="55">
      <formula>$J$9=""</formula>
    </cfRule>
  </conditionalFormatting>
  <conditionalFormatting sqref="J25">
    <cfRule type="expression" dxfId="121" priority="54">
      <formula>$J$25=""</formula>
    </cfRule>
  </conditionalFormatting>
  <conditionalFormatting sqref="J57">
    <cfRule type="expression" dxfId="120" priority="7">
      <formula>J57=""</formula>
    </cfRule>
  </conditionalFormatting>
  <conditionalFormatting sqref="J81">
    <cfRule type="expression" dxfId="119" priority="4">
      <formula>J81=""</formula>
    </cfRule>
  </conditionalFormatting>
  <conditionalFormatting sqref="J118:K118">
    <cfRule type="expression" dxfId="118" priority="13">
      <formula>J118=""</formula>
    </cfRule>
  </conditionalFormatting>
  <conditionalFormatting sqref="J124:K124">
    <cfRule type="expression" dxfId="117" priority="12">
      <formula>J124=""</formula>
    </cfRule>
  </conditionalFormatting>
  <conditionalFormatting sqref="J130:K130">
    <cfRule type="expression" dxfId="116" priority="11">
      <formula>J130=""</formula>
    </cfRule>
  </conditionalFormatting>
  <dataValidations count="1">
    <dataValidation type="list" allowBlank="1" showInputMessage="1" showErrorMessage="1" sqref="B2" xr:uid="{E5D2E7E9-8F50-40FE-BC48-253ABA9FB1D6}">
      <formula1>"Jā,Nē"</formula1>
    </dataValidation>
  </dataValidations>
  <printOptions horizontalCentered="1"/>
  <pageMargins left="0.11811023622047245" right="0.11811023622047245" top="0.35433070866141736" bottom="0.35433070866141736" header="0.31496062992125984" footer="0.31496062992125984"/>
  <pageSetup paperSize="9" orientation="landscape" horizontalDpi="1200" verticalDpi="1200"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7BCA7-6E95-4432-8BA7-9C070718504D}">
  <sheetPr>
    <tabColor rgb="FF92D050"/>
  </sheetPr>
  <dimension ref="A1:S61"/>
  <sheetViews>
    <sheetView view="pageBreakPreview" zoomScaleNormal="100" zoomScaleSheetLayoutView="100" workbookViewId="0">
      <selection activeCell="A61" sqref="A61"/>
    </sheetView>
  </sheetViews>
  <sheetFormatPr defaultColWidth="9.140625" defaultRowHeight="15.6"/>
  <cols>
    <col min="1" max="1" width="5.5703125" style="138" customWidth="1"/>
    <col min="2" max="5" width="12.85546875" style="138" customWidth="1"/>
    <col min="6" max="6" width="11.42578125" style="138" customWidth="1"/>
    <col min="7" max="9" width="12.85546875" style="138" customWidth="1"/>
    <col min="10" max="10" width="10.42578125" style="138" customWidth="1"/>
    <col min="11" max="11" width="13" style="138" customWidth="1"/>
    <col min="12" max="12" width="13.5703125" style="138" customWidth="1"/>
    <col min="13" max="13" width="10.85546875" style="138" hidden="1" customWidth="1"/>
    <col min="14" max="14" width="14.42578125" style="138" hidden="1" customWidth="1"/>
    <col min="15" max="23" width="0" style="138" hidden="1" customWidth="1"/>
    <col min="24" max="16384" width="9.140625" style="138"/>
  </cols>
  <sheetData>
    <row r="1" spans="1:15" s="127" customFormat="1" ht="42" customHeight="1">
      <c r="A1" s="371" t="s">
        <v>260</v>
      </c>
      <c r="B1" s="371"/>
      <c r="C1" s="371"/>
      <c r="D1" s="371"/>
      <c r="E1" s="371"/>
      <c r="F1" s="371"/>
      <c r="G1" s="371"/>
      <c r="H1" s="371"/>
      <c r="I1" s="371"/>
      <c r="J1" s="371"/>
      <c r="K1" s="371"/>
    </row>
    <row r="2" spans="1:15" s="88" customFormat="1" ht="3.6" customHeight="1">
      <c r="A2" s="128"/>
      <c r="B2" s="129"/>
      <c r="C2" s="129"/>
      <c r="D2" s="129"/>
      <c r="E2" s="129"/>
      <c r="F2" s="129"/>
      <c r="G2" s="129"/>
      <c r="H2" s="129"/>
      <c r="I2" s="129"/>
      <c r="J2" s="129"/>
      <c r="K2" s="130"/>
    </row>
    <row r="3" spans="1:15" s="89" customFormat="1" ht="14.1">
      <c r="A3" s="131" t="s">
        <v>261</v>
      </c>
      <c r="B3" s="372" t="s">
        <v>76</v>
      </c>
      <c r="C3" s="372"/>
      <c r="D3" s="372"/>
      <c r="E3" s="372"/>
      <c r="F3" s="372"/>
      <c r="G3" s="372"/>
      <c r="H3" s="372"/>
      <c r="I3" s="372"/>
      <c r="J3" s="372"/>
      <c r="K3" s="372"/>
      <c r="L3" s="132"/>
      <c r="M3" s="132"/>
    </row>
    <row r="4" spans="1:15" s="89" customFormat="1" ht="14.1">
      <c r="A4" s="133" t="s">
        <v>262</v>
      </c>
      <c r="B4" s="404" t="s">
        <v>78</v>
      </c>
      <c r="C4" s="404"/>
      <c r="D4" s="404"/>
      <c r="E4" s="404"/>
      <c r="F4" s="404"/>
      <c r="G4" s="404"/>
      <c r="H4" s="404"/>
      <c r="I4" s="404"/>
      <c r="J4" s="404"/>
      <c r="K4" s="404"/>
      <c r="L4" s="132"/>
      <c r="M4" s="132"/>
    </row>
    <row r="5" spans="1:15" ht="27.6" customHeight="1">
      <c r="A5" s="373" t="s">
        <v>79</v>
      </c>
      <c r="B5" s="135" t="s">
        <v>80</v>
      </c>
      <c r="C5" s="391" t="s">
        <v>81</v>
      </c>
      <c r="D5" s="409"/>
      <c r="E5" s="391" t="s">
        <v>82</v>
      </c>
      <c r="F5" s="409"/>
      <c r="G5" s="136" t="s">
        <v>83</v>
      </c>
      <c r="H5" s="391" t="s">
        <v>84</v>
      </c>
      <c r="I5" s="409"/>
      <c r="J5" s="410" t="s">
        <v>85</v>
      </c>
      <c r="K5" s="411"/>
      <c r="L5" s="137"/>
      <c r="M5" s="137"/>
    </row>
    <row r="6" spans="1:15" s="142" customFormat="1" ht="13.35" customHeight="1">
      <c r="A6" s="374"/>
      <c r="B6" s="139" t="s">
        <v>86</v>
      </c>
      <c r="C6" s="412" t="s">
        <v>87</v>
      </c>
      <c r="D6" s="412"/>
      <c r="E6" s="407" t="s">
        <v>88</v>
      </c>
      <c r="F6" s="408"/>
      <c r="G6" s="139" t="s">
        <v>89</v>
      </c>
      <c r="H6" s="407" t="s">
        <v>88</v>
      </c>
      <c r="I6" s="408"/>
      <c r="J6" s="350" t="s">
        <v>88</v>
      </c>
      <c r="K6" s="350"/>
      <c r="L6" s="141"/>
      <c r="M6" s="141"/>
    </row>
    <row r="7" spans="1:15" s="147" customFormat="1" ht="8.1">
      <c r="A7" s="143">
        <v>1</v>
      </c>
      <c r="B7" s="144">
        <v>2</v>
      </c>
      <c r="C7" s="405">
        <v>3</v>
      </c>
      <c r="D7" s="405"/>
      <c r="E7" s="351">
        <v>4</v>
      </c>
      <c r="F7" s="353"/>
      <c r="G7" s="143">
        <v>5</v>
      </c>
      <c r="H7" s="351">
        <v>6</v>
      </c>
      <c r="I7" s="353"/>
      <c r="J7" s="351">
        <v>7</v>
      </c>
      <c r="K7" s="353"/>
      <c r="L7" s="146"/>
      <c r="M7" s="146"/>
    </row>
    <row r="8" spans="1:15">
      <c r="A8" s="148">
        <v>1</v>
      </c>
      <c r="B8" s="54"/>
      <c r="C8" s="402"/>
      <c r="D8" s="403"/>
      <c r="E8" s="402"/>
      <c r="F8" s="403"/>
      <c r="G8" s="54"/>
      <c r="H8" s="402"/>
      <c r="I8" s="403"/>
      <c r="J8" s="377">
        <f>ROUND(H8+E8,0)*O8</f>
        <v>0</v>
      </c>
      <c r="K8" s="378"/>
      <c r="L8" s="137"/>
      <c r="M8" s="137"/>
      <c r="O8" s="138">
        <f>IF(A9="Jā",,1)</f>
        <v>1</v>
      </c>
    </row>
    <row r="9" spans="1:15" s="142" customFormat="1" ht="17.45" customHeight="1">
      <c r="A9" s="75" t="s">
        <v>90</v>
      </c>
      <c r="B9" s="347" t="s">
        <v>91</v>
      </c>
      <c r="C9" s="347"/>
      <c r="D9" s="347"/>
      <c r="E9" s="347"/>
      <c r="F9" s="347"/>
      <c r="G9" s="347"/>
      <c r="H9" s="347"/>
      <c r="I9" s="347"/>
      <c r="J9" s="347"/>
      <c r="K9" s="348"/>
    </row>
    <row r="10" spans="1:15" s="89" customFormat="1" ht="14.1">
      <c r="A10" s="133" t="s">
        <v>263</v>
      </c>
      <c r="B10" s="404" t="s">
        <v>93</v>
      </c>
      <c r="C10" s="404"/>
      <c r="D10" s="404"/>
      <c r="E10" s="404"/>
      <c r="F10" s="404"/>
      <c r="G10" s="404"/>
      <c r="H10" s="404"/>
      <c r="I10" s="404"/>
      <c r="J10" s="404"/>
      <c r="K10" s="404"/>
      <c r="L10" s="132"/>
      <c r="M10" s="132"/>
    </row>
    <row r="11" spans="1:15" ht="27.6" customHeight="1">
      <c r="A11" s="373" t="s">
        <v>79</v>
      </c>
      <c r="B11" s="358" t="s">
        <v>94</v>
      </c>
      <c r="C11" s="359"/>
      <c r="D11" s="359"/>
      <c r="E11" s="406" t="s">
        <v>95</v>
      </c>
      <c r="F11" s="406"/>
      <c r="G11" s="136" t="s">
        <v>96</v>
      </c>
      <c r="H11" s="136" t="s">
        <v>97</v>
      </c>
      <c r="I11" s="136" t="s">
        <v>98</v>
      </c>
      <c r="J11" s="349" t="s">
        <v>99</v>
      </c>
      <c r="K11" s="349"/>
      <c r="L11" s="137"/>
      <c r="M11" s="137"/>
    </row>
    <row r="12" spans="1:15" s="142" customFormat="1" ht="13.35" customHeight="1">
      <c r="A12" s="374"/>
      <c r="B12" s="361"/>
      <c r="C12" s="362"/>
      <c r="D12" s="362"/>
      <c r="E12" s="406"/>
      <c r="F12" s="406"/>
      <c r="G12" s="139" t="s">
        <v>100</v>
      </c>
      <c r="H12" s="139" t="s">
        <v>100</v>
      </c>
      <c r="I12" s="139" t="s">
        <v>101</v>
      </c>
      <c r="J12" s="400" t="s">
        <v>88</v>
      </c>
      <c r="K12" s="401"/>
      <c r="L12" s="141"/>
      <c r="M12" s="141"/>
    </row>
    <row r="13" spans="1:15" s="147" customFormat="1" ht="8.1">
      <c r="A13" s="143">
        <v>1</v>
      </c>
      <c r="B13" s="351">
        <v>2</v>
      </c>
      <c r="C13" s="352"/>
      <c r="D13" s="352"/>
      <c r="E13" s="405">
        <v>3</v>
      </c>
      <c r="F13" s="405"/>
      <c r="G13" s="143">
        <v>4</v>
      </c>
      <c r="H13" s="143">
        <v>5</v>
      </c>
      <c r="I13" s="143">
        <v>6</v>
      </c>
      <c r="J13" s="351">
        <v>7</v>
      </c>
      <c r="K13" s="353"/>
      <c r="L13" s="146"/>
      <c r="M13" s="146"/>
    </row>
    <row r="14" spans="1:15">
      <c r="A14" s="149">
        <v>1</v>
      </c>
      <c r="B14" s="397"/>
      <c r="C14" s="397"/>
      <c r="D14" s="397"/>
      <c r="E14" s="398" t="s">
        <v>102</v>
      </c>
      <c r="F14" s="399"/>
      <c r="G14" s="55"/>
      <c r="H14" s="55"/>
      <c r="I14" s="55"/>
      <c r="J14" s="383">
        <f>IFERROR((H14*I14/1000*O14),0)</f>
        <v>0</v>
      </c>
      <c r="K14" s="384"/>
      <c r="L14" s="137"/>
      <c r="M14" s="137"/>
      <c r="O14" s="138">
        <f>IF($A$23="Jā",0,1)</f>
        <v>1</v>
      </c>
    </row>
    <row r="15" spans="1:15">
      <c r="A15" s="149">
        <v>2</v>
      </c>
      <c r="B15" s="397"/>
      <c r="C15" s="397"/>
      <c r="D15" s="397"/>
      <c r="E15" s="398" t="s">
        <v>102</v>
      </c>
      <c r="F15" s="399"/>
      <c r="G15" s="55"/>
      <c r="H15" s="55"/>
      <c r="I15" s="55"/>
      <c r="J15" s="383">
        <f t="shared" ref="J15:J18" si="0">IFERROR((H15*I15/1000*O15),0)</f>
        <v>0</v>
      </c>
      <c r="K15" s="384"/>
      <c r="L15" s="137"/>
      <c r="M15" s="137"/>
      <c r="O15" s="138">
        <f t="shared" ref="O15:O22" si="1">IF($A$23="Jā",0,1)</f>
        <v>1</v>
      </c>
    </row>
    <row r="16" spans="1:15">
      <c r="A16" s="149">
        <v>3</v>
      </c>
      <c r="B16" s="397"/>
      <c r="C16" s="397"/>
      <c r="D16" s="397"/>
      <c r="E16" s="398" t="s">
        <v>102</v>
      </c>
      <c r="F16" s="399"/>
      <c r="G16" s="55"/>
      <c r="H16" s="55"/>
      <c r="I16" s="55"/>
      <c r="J16" s="383">
        <f t="shared" si="0"/>
        <v>0</v>
      </c>
      <c r="K16" s="384"/>
      <c r="L16" s="137"/>
      <c r="M16" s="137"/>
      <c r="O16" s="138">
        <f t="shared" si="1"/>
        <v>1</v>
      </c>
    </row>
    <row r="17" spans="1:19" ht="15.6" customHeight="1">
      <c r="A17" s="149">
        <v>4</v>
      </c>
      <c r="B17" s="397"/>
      <c r="C17" s="397"/>
      <c r="D17" s="397"/>
      <c r="E17" s="398" t="s">
        <v>102</v>
      </c>
      <c r="F17" s="399"/>
      <c r="G17" s="55"/>
      <c r="H17" s="55"/>
      <c r="I17" s="55"/>
      <c r="J17" s="383">
        <f t="shared" si="0"/>
        <v>0</v>
      </c>
      <c r="K17" s="384"/>
      <c r="L17" s="137"/>
      <c r="M17" s="137"/>
      <c r="O17" s="138">
        <f t="shared" si="1"/>
        <v>1</v>
      </c>
    </row>
    <row r="18" spans="1:19" ht="15.6" customHeight="1">
      <c r="A18" s="149">
        <v>5</v>
      </c>
      <c r="B18" s="397"/>
      <c r="C18" s="397"/>
      <c r="D18" s="397"/>
      <c r="E18" s="398" t="s">
        <v>102</v>
      </c>
      <c r="F18" s="399"/>
      <c r="G18" s="55"/>
      <c r="H18" s="55"/>
      <c r="I18" s="55"/>
      <c r="J18" s="383">
        <f t="shared" si="0"/>
        <v>0</v>
      </c>
      <c r="K18" s="384"/>
      <c r="L18" s="137"/>
      <c r="M18" s="137"/>
      <c r="O18" s="138">
        <f t="shared" si="1"/>
        <v>1</v>
      </c>
    </row>
    <row r="19" spans="1:19">
      <c r="A19" s="387" t="s">
        <v>103</v>
      </c>
      <c r="B19" s="388"/>
      <c r="C19" s="388"/>
      <c r="D19" s="388"/>
      <c r="E19" s="388"/>
      <c r="F19" s="388"/>
      <c r="G19" s="388"/>
      <c r="H19" s="388"/>
      <c r="I19" s="389"/>
      <c r="J19" s="377">
        <f>ROUND(SUM(J14:K18),0)</f>
        <v>0</v>
      </c>
      <c r="K19" s="378"/>
      <c r="L19" s="137"/>
      <c r="M19" s="137"/>
      <c r="O19" s="138">
        <f t="shared" si="1"/>
        <v>1</v>
      </c>
    </row>
    <row r="20" spans="1:19" ht="15.6" customHeight="1">
      <c r="A20" s="149">
        <v>6</v>
      </c>
      <c r="B20" s="397"/>
      <c r="C20" s="397"/>
      <c r="D20" s="397"/>
      <c r="E20" s="398" t="s">
        <v>104</v>
      </c>
      <c r="F20" s="399"/>
      <c r="G20" s="55"/>
      <c r="H20" s="55"/>
      <c r="I20" s="55"/>
      <c r="J20" s="383">
        <f t="shared" ref="J20" si="2">IFERROR((H20*I20/1000*O20),0)</f>
        <v>0</v>
      </c>
      <c r="K20" s="384"/>
      <c r="L20" s="137"/>
      <c r="M20" s="137"/>
      <c r="O20" s="138">
        <f t="shared" si="1"/>
        <v>1</v>
      </c>
    </row>
    <row r="21" spans="1:19" ht="15.6" customHeight="1">
      <c r="A21" s="149">
        <v>7</v>
      </c>
      <c r="B21" s="397"/>
      <c r="C21" s="397"/>
      <c r="D21" s="397"/>
      <c r="E21" s="398" t="s">
        <v>104</v>
      </c>
      <c r="F21" s="399"/>
      <c r="G21" s="55"/>
      <c r="H21" s="55"/>
      <c r="I21" s="55"/>
      <c r="J21" s="383">
        <f t="shared" ref="J21" si="3">IFERROR((H21*I21/1000*O21),0)</f>
        <v>0</v>
      </c>
      <c r="K21" s="384"/>
      <c r="L21" s="137"/>
      <c r="M21" s="137"/>
      <c r="O21" s="138">
        <f t="shared" si="1"/>
        <v>1</v>
      </c>
    </row>
    <row r="22" spans="1:19">
      <c r="A22" s="387" t="s">
        <v>105</v>
      </c>
      <c r="B22" s="388"/>
      <c r="C22" s="388"/>
      <c r="D22" s="388"/>
      <c r="E22" s="388"/>
      <c r="F22" s="388"/>
      <c r="G22" s="388"/>
      <c r="H22" s="388"/>
      <c r="I22" s="389"/>
      <c r="J22" s="377">
        <f>ROUND(SUM(J20:K21),0)</f>
        <v>0</v>
      </c>
      <c r="K22" s="378"/>
      <c r="L22" s="137"/>
      <c r="M22" s="137"/>
      <c r="O22" s="138">
        <f t="shared" si="1"/>
        <v>1</v>
      </c>
    </row>
    <row r="23" spans="1:19" s="142" customFormat="1" ht="15">
      <c r="A23" s="75" t="s">
        <v>90</v>
      </c>
      <c r="B23" s="347" t="s">
        <v>106</v>
      </c>
      <c r="C23" s="347"/>
      <c r="D23" s="347"/>
      <c r="E23" s="347"/>
      <c r="F23" s="347"/>
      <c r="G23" s="347"/>
      <c r="H23" s="347"/>
      <c r="I23" s="347"/>
      <c r="J23" s="347"/>
      <c r="K23" s="348"/>
      <c r="P23" s="142" t="s">
        <v>107</v>
      </c>
      <c r="Q23" s="142">
        <v>30</v>
      </c>
      <c r="R23" s="142">
        <v>5</v>
      </c>
      <c r="S23" s="142">
        <v>0.35</v>
      </c>
    </row>
    <row r="24" spans="1:19" s="89" customFormat="1" ht="14.1">
      <c r="A24" s="131" t="s">
        <v>264</v>
      </c>
      <c r="B24" s="390" t="s">
        <v>109</v>
      </c>
      <c r="C24" s="390"/>
      <c r="D24" s="390"/>
      <c r="E24" s="390"/>
      <c r="F24" s="390"/>
      <c r="G24" s="390"/>
      <c r="H24" s="390"/>
      <c r="I24" s="390"/>
      <c r="J24" s="390"/>
      <c r="K24" s="390"/>
      <c r="L24" s="132"/>
      <c r="M24" s="132"/>
      <c r="P24" s="89" t="s">
        <v>110</v>
      </c>
      <c r="Q24" s="89">
        <v>530</v>
      </c>
      <c r="R24" s="89">
        <v>30</v>
      </c>
      <c r="S24" s="89">
        <v>0.6</v>
      </c>
    </row>
    <row r="25" spans="1:19" ht="42" customHeight="1">
      <c r="A25" s="373" t="s">
        <v>79</v>
      </c>
      <c r="B25" s="358" t="s">
        <v>111</v>
      </c>
      <c r="C25" s="360"/>
      <c r="D25" s="136" t="s">
        <v>112</v>
      </c>
      <c r="E25" s="391" t="s">
        <v>113</v>
      </c>
      <c r="F25" s="392"/>
      <c r="G25" s="136" t="s">
        <v>114</v>
      </c>
      <c r="H25" s="136" t="s">
        <v>115</v>
      </c>
      <c r="I25" s="136" t="s">
        <v>116</v>
      </c>
      <c r="J25" s="393" t="s">
        <v>117</v>
      </c>
      <c r="K25" s="394"/>
      <c r="L25" s="137"/>
      <c r="M25" s="137"/>
      <c r="P25" s="138" t="s">
        <v>118</v>
      </c>
      <c r="Q25" s="138">
        <v>170</v>
      </c>
      <c r="R25" s="138">
        <v>50</v>
      </c>
      <c r="S25" s="138">
        <v>0.78</v>
      </c>
    </row>
    <row r="26" spans="1:19" s="155" customFormat="1" ht="12" customHeight="1">
      <c r="A26" s="374"/>
      <c r="B26" s="361"/>
      <c r="C26" s="363"/>
      <c r="D26" s="151" t="s">
        <v>119</v>
      </c>
      <c r="E26" s="151" t="s">
        <v>120</v>
      </c>
      <c r="F26" s="152" t="s">
        <v>88</v>
      </c>
      <c r="G26" s="153" t="s">
        <v>89</v>
      </c>
      <c r="H26" s="140" t="s">
        <v>88</v>
      </c>
      <c r="I26" s="140" t="s">
        <v>88</v>
      </c>
      <c r="J26" s="395"/>
      <c r="K26" s="396"/>
      <c r="L26" s="154"/>
      <c r="M26" s="154"/>
      <c r="P26" s="155" t="s">
        <v>121</v>
      </c>
      <c r="Q26" s="155">
        <v>500</v>
      </c>
      <c r="R26" s="155">
        <v>80</v>
      </c>
      <c r="S26" s="155">
        <v>0.98</v>
      </c>
    </row>
    <row r="27" spans="1:19" s="147" customFormat="1" ht="8.1">
      <c r="A27" s="143">
        <v>1</v>
      </c>
      <c r="B27" s="351">
        <v>2</v>
      </c>
      <c r="C27" s="353"/>
      <c r="D27" s="143">
        <v>3</v>
      </c>
      <c r="E27" s="143">
        <v>4</v>
      </c>
      <c r="F27" s="144">
        <v>5</v>
      </c>
      <c r="G27" s="145">
        <v>6</v>
      </c>
      <c r="H27" s="143">
        <v>7</v>
      </c>
      <c r="I27" s="143">
        <v>8</v>
      </c>
      <c r="J27" s="351">
        <v>9</v>
      </c>
      <c r="K27" s="353"/>
      <c r="L27" s="146"/>
      <c r="M27" s="146"/>
      <c r="P27" s="147" t="s">
        <v>122</v>
      </c>
      <c r="Q27" s="147">
        <v>10</v>
      </c>
      <c r="R27" s="147">
        <v>100</v>
      </c>
      <c r="S27" s="147">
        <v>1.1000000000000001</v>
      </c>
    </row>
    <row r="28" spans="1:19">
      <c r="A28" s="156" t="s">
        <v>123</v>
      </c>
      <c r="B28" s="381"/>
      <c r="C28" s="382"/>
      <c r="D28" s="80"/>
      <c r="E28" s="157">
        <f>IFERROR(VLOOKUP(B28,P23:Q34,2,FALSE),0)</f>
        <v>0</v>
      </c>
      <c r="F28" s="150">
        <f>IFERROR((D28*E28*365/1000),0)</f>
        <v>0</v>
      </c>
      <c r="G28" s="81"/>
      <c r="H28" s="158">
        <f>IFERROR(O28*365,0)</f>
        <v>0</v>
      </c>
      <c r="I28" s="76"/>
      <c r="J28" s="383">
        <f>IFERROR((F28+H28+I28)*N28,0)</f>
        <v>0</v>
      </c>
      <c r="K28" s="384"/>
      <c r="L28" s="137"/>
      <c r="M28" s="137"/>
      <c r="N28" s="138">
        <f>IF($A$31="Jā",0,1)</f>
        <v>1</v>
      </c>
      <c r="O28" s="138" t="e">
        <f>VLOOKUP(G28,R23:S32,2,FALSE)</f>
        <v>#N/A</v>
      </c>
      <c r="P28" s="138" t="s">
        <v>124</v>
      </c>
      <c r="Q28" s="138">
        <v>75</v>
      </c>
      <c r="R28" s="138">
        <v>120</v>
      </c>
      <c r="S28" s="138">
        <v>1.2</v>
      </c>
    </row>
    <row r="29" spans="1:19">
      <c r="A29" s="156" t="s">
        <v>125</v>
      </c>
      <c r="B29" s="381"/>
      <c r="C29" s="382"/>
      <c r="D29" s="80"/>
      <c r="E29" s="157">
        <f>IFERROR(VLOOKUP(B29,P23:Q35,2,FALSE),0)</f>
        <v>0</v>
      </c>
      <c r="F29" s="150">
        <f t="shared" ref="F29:F30" si="4">IFERROR((D29*E29*365/1000),0)</f>
        <v>0</v>
      </c>
      <c r="G29" s="81"/>
      <c r="H29" s="158">
        <f t="shared" ref="H29:H30" si="5">IFERROR(O29*365,0)</f>
        <v>0</v>
      </c>
      <c r="I29" s="76"/>
      <c r="J29" s="383">
        <f t="shared" ref="J29:J30" si="6">IFERROR((F29+H29+I29)*N29,0)</f>
        <v>0</v>
      </c>
      <c r="K29" s="384"/>
      <c r="L29" s="137"/>
      <c r="M29" s="137"/>
      <c r="N29" s="138">
        <f t="shared" ref="N29:N30" si="7">IF($A$31="Jā",0,1)</f>
        <v>1</v>
      </c>
      <c r="O29" s="138" t="e">
        <f>VLOOKUP(G29,R23:S32,2,FALSE)</f>
        <v>#N/A</v>
      </c>
      <c r="P29" s="138" t="s">
        <v>126</v>
      </c>
      <c r="Q29" s="138">
        <v>190</v>
      </c>
      <c r="R29" s="138">
        <v>150</v>
      </c>
      <c r="S29" s="138">
        <v>1.35</v>
      </c>
    </row>
    <row r="30" spans="1:19">
      <c r="A30" s="156" t="s">
        <v>127</v>
      </c>
      <c r="B30" s="381"/>
      <c r="C30" s="382"/>
      <c r="D30" s="80"/>
      <c r="E30" s="157">
        <f>IFERROR(VLOOKUP(B30,P23:Q36,2,FALSE),0)</f>
        <v>0</v>
      </c>
      <c r="F30" s="150">
        <f t="shared" si="4"/>
        <v>0</v>
      </c>
      <c r="G30" s="81"/>
      <c r="H30" s="158">
        <f t="shared" si="5"/>
        <v>0</v>
      </c>
      <c r="I30" s="76"/>
      <c r="J30" s="383">
        <f t="shared" si="6"/>
        <v>0</v>
      </c>
      <c r="K30" s="384"/>
      <c r="L30" s="137"/>
      <c r="M30" s="137"/>
      <c r="N30" s="138">
        <f t="shared" si="7"/>
        <v>1</v>
      </c>
      <c r="O30" s="138" t="e">
        <f>VLOOKUP(G30,R23:S32,2,FALSE)</f>
        <v>#N/A</v>
      </c>
      <c r="P30" s="138" t="s">
        <v>128</v>
      </c>
      <c r="Q30" s="138">
        <v>450</v>
      </c>
      <c r="R30" s="138">
        <v>200</v>
      </c>
      <c r="S30" s="138">
        <v>1.56</v>
      </c>
    </row>
    <row r="31" spans="1:19" s="142" customFormat="1" ht="15.6" customHeight="1">
      <c r="A31" s="75" t="s">
        <v>90</v>
      </c>
      <c r="B31" s="370" t="s">
        <v>129</v>
      </c>
      <c r="C31" s="347"/>
      <c r="D31" s="347"/>
      <c r="E31" s="347"/>
      <c r="F31" s="347"/>
      <c r="G31" s="347"/>
      <c r="H31" s="347"/>
      <c r="I31" s="165"/>
      <c r="J31" s="385">
        <f>SUM(J28:K30)</f>
        <v>0</v>
      </c>
      <c r="K31" s="386"/>
      <c r="P31" s="142" t="s">
        <v>130</v>
      </c>
      <c r="Q31" s="142">
        <v>580</v>
      </c>
      <c r="R31" s="142">
        <v>300</v>
      </c>
      <c r="S31" s="142">
        <v>1.91</v>
      </c>
    </row>
    <row r="32" spans="1:19" ht="23.45" customHeight="1">
      <c r="A32" s="131" t="s">
        <v>265</v>
      </c>
      <c r="B32" s="372" t="s">
        <v>132</v>
      </c>
      <c r="C32" s="372"/>
      <c r="D32" s="372"/>
      <c r="E32" s="372"/>
      <c r="F32" s="372"/>
      <c r="G32" s="372"/>
      <c r="H32" s="372"/>
      <c r="I32" s="372"/>
      <c r="J32" s="372"/>
      <c r="K32" s="372"/>
      <c r="L32" s="137"/>
      <c r="M32" s="137"/>
      <c r="P32" s="138" t="s">
        <v>133</v>
      </c>
      <c r="Q32" s="138">
        <v>1250</v>
      </c>
      <c r="R32" s="138">
        <v>400</v>
      </c>
      <c r="S32" s="138">
        <v>2.2000000000000002</v>
      </c>
    </row>
    <row r="33" spans="1:17" ht="27.6" customHeight="1">
      <c r="A33" s="373" t="s">
        <v>79</v>
      </c>
      <c r="B33" s="358" t="s">
        <v>94</v>
      </c>
      <c r="C33" s="359"/>
      <c r="D33" s="359"/>
      <c r="E33" s="136" t="s">
        <v>96</v>
      </c>
      <c r="F33" s="136" t="s">
        <v>134</v>
      </c>
      <c r="G33" s="136" t="s">
        <v>97</v>
      </c>
      <c r="H33" s="136" t="s">
        <v>135</v>
      </c>
      <c r="I33" s="136" t="s">
        <v>98</v>
      </c>
      <c r="J33" s="349" t="s">
        <v>136</v>
      </c>
      <c r="K33" s="349"/>
      <c r="L33" s="137"/>
      <c r="M33" s="137"/>
      <c r="P33" s="138" t="s">
        <v>137</v>
      </c>
      <c r="Q33" s="138">
        <v>230</v>
      </c>
    </row>
    <row r="34" spans="1:17" s="142" customFormat="1" ht="13.35" customHeight="1">
      <c r="A34" s="374"/>
      <c r="B34" s="361"/>
      <c r="C34" s="362"/>
      <c r="D34" s="362"/>
      <c r="E34" s="98" t="s">
        <v>138</v>
      </c>
      <c r="F34" s="160" t="s">
        <v>139</v>
      </c>
      <c r="G34" s="140" t="s">
        <v>140</v>
      </c>
      <c r="H34" s="140" t="s">
        <v>139</v>
      </c>
      <c r="I34" s="140" t="s">
        <v>101</v>
      </c>
      <c r="J34" s="379" t="s">
        <v>88</v>
      </c>
      <c r="K34" s="380"/>
      <c r="L34" s="141"/>
      <c r="M34" s="141"/>
      <c r="P34" s="142" t="s">
        <v>141</v>
      </c>
      <c r="Q34" s="142">
        <v>150</v>
      </c>
    </row>
    <row r="35" spans="1:17" s="147" customFormat="1" ht="8.1">
      <c r="A35" s="143">
        <v>1</v>
      </c>
      <c r="B35" s="351">
        <v>2</v>
      </c>
      <c r="C35" s="352"/>
      <c r="D35" s="353"/>
      <c r="E35" s="143">
        <v>3</v>
      </c>
      <c r="F35" s="143">
        <v>4</v>
      </c>
      <c r="G35" s="143">
        <v>5</v>
      </c>
      <c r="H35" s="143">
        <v>6</v>
      </c>
      <c r="I35" s="143">
        <v>7</v>
      </c>
      <c r="J35" s="351">
        <v>8</v>
      </c>
      <c r="K35" s="353"/>
      <c r="L35" s="146"/>
      <c r="M35" s="146"/>
    </row>
    <row r="36" spans="1:17">
      <c r="A36" s="156" t="s">
        <v>123</v>
      </c>
      <c r="B36" s="364"/>
      <c r="C36" s="365"/>
      <c r="D36" s="366"/>
      <c r="E36" s="54"/>
      <c r="F36" s="54"/>
      <c r="G36" s="56"/>
      <c r="H36" s="54"/>
      <c r="I36" s="54"/>
      <c r="J36" s="375">
        <f>IFERROR(G36*H36*I36/1000*N36,0)</f>
        <v>0</v>
      </c>
      <c r="K36" s="376"/>
      <c r="L36" s="137"/>
      <c r="M36" s="137"/>
      <c r="N36" s="138">
        <f>IF($A$41="Jā",0,1)</f>
        <v>1</v>
      </c>
    </row>
    <row r="37" spans="1:17">
      <c r="A37" s="156" t="s">
        <v>125</v>
      </c>
      <c r="B37" s="364"/>
      <c r="C37" s="365"/>
      <c r="D37" s="366"/>
      <c r="E37" s="54"/>
      <c r="F37" s="54"/>
      <c r="G37" s="56"/>
      <c r="H37" s="54"/>
      <c r="I37" s="54"/>
      <c r="J37" s="375">
        <f t="shared" ref="J37:J39" si="8">IFERROR(G37*H37*I37/1000*N37,0)</f>
        <v>0</v>
      </c>
      <c r="K37" s="376"/>
      <c r="L37" s="137"/>
      <c r="M37" s="137"/>
      <c r="N37" s="138">
        <f t="shared" ref="N37:N39" si="9">IF($A$41="Jā",0,1)</f>
        <v>1</v>
      </c>
    </row>
    <row r="38" spans="1:17">
      <c r="A38" s="156" t="s">
        <v>127</v>
      </c>
      <c r="B38" s="364"/>
      <c r="C38" s="365"/>
      <c r="D38" s="366"/>
      <c r="E38" s="54"/>
      <c r="F38" s="54"/>
      <c r="G38" s="56"/>
      <c r="H38" s="54"/>
      <c r="I38" s="54"/>
      <c r="J38" s="375">
        <f t="shared" si="8"/>
        <v>0</v>
      </c>
      <c r="K38" s="376"/>
      <c r="L38" s="137"/>
      <c r="M38" s="137"/>
      <c r="N38" s="138">
        <f t="shared" si="9"/>
        <v>1</v>
      </c>
    </row>
    <row r="39" spans="1:17">
      <c r="A39" s="156" t="s">
        <v>142</v>
      </c>
      <c r="B39" s="364"/>
      <c r="C39" s="365"/>
      <c r="D39" s="366"/>
      <c r="E39" s="54"/>
      <c r="F39" s="54"/>
      <c r="G39" s="56"/>
      <c r="H39" s="54"/>
      <c r="I39" s="54"/>
      <c r="J39" s="375">
        <f t="shared" si="8"/>
        <v>0</v>
      </c>
      <c r="K39" s="376"/>
      <c r="L39" s="137"/>
      <c r="M39" s="137"/>
      <c r="N39" s="138">
        <f t="shared" si="9"/>
        <v>1</v>
      </c>
    </row>
    <row r="40" spans="1:17">
      <c r="A40" s="367" t="s">
        <v>143</v>
      </c>
      <c r="B40" s="368"/>
      <c r="C40" s="368"/>
      <c r="D40" s="368"/>
      <c r="E40" s="368"/>
      <c r="F40" s="368"/>
      <c r="G40" s="368"/>
      <c r="H40" s="368"/>
      <c r="I40" s="369"/>
      <c r="J40" s="377">
        <f>ROUND(SUM(J36:K39),0)</f>
        <v>0</v>
      </c>
      <c r="K40" s="378"/>
      <c r="L40" s="137"/>
      <c r="M40" s="137"/>
    </row>
    <row r="41" spans="1:17">
      <c r="A41" s="75" t="s">
        <v>90</v>
      </c>
      <c r="B41" s="370" t="s">
        <v>144</v>
      </c>
      <c r="C41" s="347"/>
      <c r="D41" s="347"/>
      <c r="E41" s="347"/>
      <c r="F41" s="347"/>
      <c r="G41" s="347"/>
      <c r="H41" s="347"/>
      <c r="I41" s="347"/>
      <c r="J41" s="347"/>
      <c r="K41" s="348"/>
      <c r="L41" s="137"/>
      <c r="M41" s="137"/>
    </row>
    <row r="42" spans="1:17" ht="21" customHeight="1">
      <c r="A42" s="131" t="s">
        <v>266</v>
      </c>
      <c r="B42" s="372" t="s">
        <v>146</v>
      </c>
      <c r="C42" s="372"/>
      <c r="D42" s="372"/>
      <c r="E42" s="372"/>
      <c r="F42" s="372"/>
      <c r="G42" s="372"/>
      <c r="H42" s="372"/>
      <c r="I42" s="372"/>
      <c r="J42" s="372"/>
      <c r="K42" s="372"/>
      <c r="L42" s="137"/>
      <c r="M42" s="137"/>
    </row>
    <row r="43" spans="1:17" ht="27.6" customHeight="1">
      <c r="A43" s="373" t="s">
        <v>79</v>
      </c>
      <c r="B43" s="358" t="s">
        <v>147</v>
      </c>
      <c r="C43" s="359"/>
      <c r="D43" s="134" t="s">
        <v>148</v>
      </c>
      <c r="E43" s="161" t="s">
        <v>149</v>
      </c>
      <c r="F43" s="136" t="s">
        <v>150</v>
      </c>
      <c r="G43" s="136" t="s">
        <v>97</v>
      </c>
      <c r="H43" s="136" t="s">
        <v>98</v>
      </c>
      <c r="I43" s="373" t="s">
        <v>151</v>
      </c>
      <c r="J43" s="349" t="s">
        <v>152</v>
      </c>
      <c r="K43" s="349"/>
      <c r="L43" s="137"/>
      <c r="M43" s="137"/>
    </row>
    <row r="44" spans="1:17" s="142" customFormat="1" ht="13.35" customHeight="1">
      <c r="A44" s="374"/>
      <c r="B44" s="361"/>
      <c r="C44" s="362"/>
      <c r="D44" s="140" t="s">
        <v>153</v>
      </c>
      <c r="E44" s="98" t="s">
        <v>100</v>
      </c>
      <c r="F44" s="98" t="s">
        <v>154</v>
      </c>
      <c r="G44" s="140" t="s">
        <v>155</v>
      </c>
      <c r="H44" s="140" t="s">
        <v>101</v>
      </c>
      <c r="I44" s="374"/>
      <c r="J44" s="379" t="s">
        <v>88</v>
      </c>
      <c r="K44" s="380"/>
      <c r="L44" s="141"/>
      <c r="M44" s="141"/>
    </row>
    <row r="45" spans="1:17" s="147" customFormat="1" ht="8.1">
      <c r="A45" s="143">
        <v>1</v>
      </c>
      <c r="B45" s="351">
        <v>2</v>
      </c>
      <c r="C45" s="353"/>
      <c r="D45" s="143">
        <v>3</v>
      </c>
      <c r="E45" s="143">
        <v>4</v>
      </c>
      <c r="F45" s="143">
        <v>5</v>
      </c>
      <c r="G45" s="143">
        <v>6</v>
      </c>
      <c r="H45" s="143">
        <v>7</v>
      </c>
      <c r="I45" s="143">
        <v>8</v>
      </c>
      <c r="J45" s="351">
        <v>9</v>
      </c>
      <c r="K45" s="353"/>
      <c r="L45" s="146"/>
      <c r="M45" s="146"/>
    </row>
    <row r="46" spans="1:17">
      <c r="A46" s="156" t="s">
        <v>123</v>
      </c>
      <c r="B46" s="356"/>
      <c r="C46" s="357"/>
      <c r="D46" s="57"/>
      <c r="E46" s="57"/>
      <c r="F46" s="57"/>
      <c r="G46" s="162">
        <f>IFERROR(E46*F46/D46,0)</f>
        <v>0</v>
      </c>
      <c r="H46" s="57"/>
      <c r="I46" s="57"/>
      <c r="J46" s="375">
        <f>E46*F46*H46*I46/1000*N46</f>
        <v>0</v>
      </c>
      <c r="K46" s="376"/>
      <c r="L46" s="137"/>
      <c r="M46" s="137"/>
      <c r="N46" s="138">
        <f>IF($A$51="Jā",0,1)</f>
        <v>1</v>
      </c>
    </row>
    <row r="47" spans="1:17">
      <c r="A47" s="156" t="s">
        <v>125</v>
      </c>
      <c r="B47" s="356"/>
      <c r="C47" s="357"/>
      <c r="D47" s="57"/>
      <c r="E47" s="57"/>
      <c r="F47" s="57"/>
      <c r="G47" s="162">
        <f t="shared" ref="G47:G49" si="10">IFERROR(E47*F47/D47,0)</f>
        <v>0</v>
      </c>
      <c r="H47" s="57"/>
      <c r="I47" s="57"/>
      <c r="J47" s="375">
        <f t="shared" ref="J47:J49" si="11">E47*F47*H47*I47/1000*N47</f>
        <v>0</v>
      </c>
      <c r="K47" s="376"/>
      <c r="L47" s="137"/>
      <c r="M47" s="137"/>
      <c r="N47" s="138">
        <f t="shared" ref="N47:N49" si="12">IF($A$51="Jā",0,1)</f>
        <v>1</v>
      </c>
    </row>
    <row r="48" spans="1:17">
      <c r="A48" s="156" t="s">
        <v>127</v>
      </c>
      <c r="B48" s="356"/>
      <c r="C48" s="357"/>
      <c r="D48" s="57"/>
      <c r="E48" s="57"/>
      <c r="F48" s="57"/>
      <c r="G48" s="162">
        <f t="shared" si="10"/>
        <v>0</v>
      </c>
      <c r="H48" s="57"/>
      <c r="I48" s="57"/>
      <c r="J48" s="375">
        <f t="shared" si="11"/>
        <v>0</v>
      </c>
      <c r="K48" s="376"/>
      <c r="L48" s="137"/>
      <c r="M48" s="137"/>
      <c r="N48" s="138">
        <f t="shared" si="12"/>
        <v>1</v>
      </c>
    </row>
    <row r="49" spans="1:14">
      <c r="A49" s="156" t="s">
        <v>142</v>
      </c>
      <c r="B49" s="356"/>
      <c r="C49" s="357"/>
      <c r="D49" s="57"/>
      <c r="E49" s="57"/>
      <c r="F49" s="57"/>
      <c r="G49" s="162">
        <f t="shared" si="10"/>
        <v>0</v>
      </c>
      <c r="H49" s="57"/>
      <c r="I49" s="57"/>
      <c r="J49" s="375">
        <f t="shared" si="11"/>
        <v>0</v>
      </c>
      <c r="K49" s="376"/>
      <c r="L49" s="137"/>
      <c r="M49" s="137"/>
      <c r="N49" s="138">
        <f t="shared" si="12"/>
        <v>1</v>
      </c>
    </row>
    <row r="50" spans="1:14">
      <c r="A50" s="367" t="s">
        <v>156</v>
      </c>
      <c r="B50" s="368"/>
      <c r="C50" s="368"/>
      <c r="D50" s="368"/>
      <c r="E50" s="368"/>
      <c r="F50" s="368"/>
      <c r="G50" s="368"/>
      <c r="H50" s="368"/>
      <c r="I50" s="369"/>
      <c r="J50" s="377">
        <f>SUM(J46:K49)</f>
        <v>0</v>
      </c>
      <c r="K50" s="378"/>
      <c r="L50" s="137"/>
      <c r="M50" s="137"/>
    </row>
    <row r="51" spans="1:14" s="142" customFormat="1" ht="15">
      <c r="A51" s="75" t="s">
        <v>90</v>
      </c>
      <c r="B51" s="347" t="s">
        <v>157</v>
      </c>
      <c r="C51" s="347"/>
      <c r="D51" s="347"/>
      <c r="E51" s="347"/>
      <c r="F51" s="347"/>
      <c r="G51" s="347"/>
      <c r="H51" s="347"/>
      <c r="I51" s="347"/>
      <c r="J51" s="347"/>
      <c r="K51" s="348"/>
    </row>
    <row r="52" spans="1:14" ht="22.35" customHeight="1">
      <c r="A52" s="131" t="s">
        <v>267</v>
      </c>
      <c r="B52" s="372" t="s">
        <v>159</v>
      </c>
      <c r="C52" s="372"/>
      <c r="D52" s="372"/>
      <c r="E52" s="372"/>
      <c r="F52" s="372"/>
      <c r="G52" s="372"/>
      <c r="H52" s="372"/>
      <c r="I52" s="372"/>
      <c r="J52" s="372"/>
      <c r="K52" s="372"/>
      <c r="L52" s="137"/>
      <c r="M52" s="137"/>
    </row>
    <row r="53" spans="1:14" ht="27.6" customHeight="1">
      <c r="A53" s="373" t="s">
        <v>79</v>
      </c>
      <c r="B53" s="358" t="s">
        <v>160</v>
      </c>
      <c r="C53" s="359"/>
      <c r="D53" s="359"/>
      <c r="E53" s="359"/>
      <c r="F53" s="360"/>
      <c r="G53" s="136" t="s">
        <v>161</v>
      </c>
      <c r="H53" s="136" t="s">
        <v>98</v>
      </c>
      <c r="I53" s="349" t="s">
        <v>162</v>
      </c>
      <c r="J53" s="349"/>
      <c r="K53" s="349"/>
      <c r="L53" s="137"/>
      <c r="M53" s="137"/>
    </row>
    <row r="54" spans="1:14" s="142" customFormat="1" ht="13.35" customHeight="1">
      <c r="A54" s="374"/>
      <c r="B54" s="361"/>
      <c r="C54" s="362"/>
      <c r="D54" s="362"/>
      <c r="E54" s="362"/>
      <c r="F54" s="363"/>
      <c r="G54" s="140" t="s">
        <v>138</v>
      </c>
      <c r="H54" s="140" t="s">
        <v>101</v>
      </c>
      <c r="I54" s="350" t="s">
        <v>88</v>
      </c>
      <c r="J54" s="350"/>
      <c r="K54" s="350"/>
      <c r="L54" s="141"/>
      <c r="M54" s="141"/>
    </row>
    <row r="55" spans="1:14" s="163" customFormat="1" ht="8.1">
      <c r="A55" s="143">
        <v>1</v>
      </c>
      <c r="B55" s="351">
        <v>2</v>
      </c>
      <c r="C55" s="352"/>
      <c r="D55" s="352"/>
      <c r="E55" s="352"/>
      <c r="F55" s="353"/>
      <c r="G55" s="143">
        <v>3</v>
      </c>
      <c r="H55" s="143">
        <v>4</v>
      </c>
      <c r="I55" s="351">
        <v>5</v>
      </c>
      <c r="J55" s="352"/>
      <c r="K55" s="353"/>
      <c r="L55" s="146"/>
      <c r="M55" s="146"/>
    </row>
    <row r="56" spans="1:14">
      <c r="A56" s="164" t="s">
        <v>123</v>
      </c>
      <c r="B56" s="364"/>
      <c r="C56" s="365"/>
      <c r="D56" s="365"/>
      <c r="E56" s="365"/>
      <c r="F56" s="366"/>
      <c r="G56" s="58"/>
      <c r="H56" s="59"/>
      <c r="I56" s="354">
        <f>G56*H56*N56</f>
        <v>0</v>
      </c>
      <c r="J56" s="354"/>
      <c r="K56" s="354"/>
      <c r="L56" s="137"/>
      <c r="M56" s="137"/>
      <c r="N56" s="138">
        <f>IF($A$61="Jā",0,1)</f>
        <v>1</v>
      </c>
    </row>
    <row r="57" spans="1:14">
      <c r="A57" s="164" t="s">
        <v>125</v>
      </c>
      <c r="B57" s="364"/>
      <c r="C57" s="365"/>
      <c r="D57" s="365"/>
      <c r="E57" s="365"/>
      <c r="F57" s="366"/>
      <c r="G57" s="58"/>
      <c r="H57" s="59"/>
      <c r="I57" s="354">
        <f t="shared" ref="I57:I59" si="13">G57*H57*N57</f>
        <v>0</v>
      </c>
      <c r="J57" s="354"/>
      <c r="K57" s="354"/>
      <c r="L57" s="137"/>
      <c r="M57" s="137"/>
      <c r="N57" s="138">
        <f t="shared" ref="N57:N59" si="14">IF($A$61="Jā",0,1)</f>
        <v>1</v>
      </c>
    </row>
    <row r="58" spans="1:14">
      <c r="A58" s="164" t="s">
        <v>127</v>
      </c>
      <c r="B58" s="364"/>
      <c r="C58" s="365"/>
      <c r="D58" s="365"/>
      <c r="E58" s="365"/>
      <c r="F58" s="366"/>
      <c r="G58" s="58"/>
      <c r="H58" s="59"/>
      <c r="I58" s="354">
        <f t="shared" si="13"/>
        <v>0</v>
      </c>
      <c r="J58" s="354"/>
      <c r="K58" s="354"/>
      <c r="L58" s="137"/>
      <c r="M58" s="137"/>
      <c r="N58" s="138">
        <f t="shared" si="14"/>
        <v>1</v>
      </c>
    </row>
    <row r="59" spans="1:14">
      <c r="A59" s="164" t="s">
        <v>142</v>
      </c>
      <c r="B59" s="364"/>
      <c r="C59" s="365"/>
      <c r="D59" s="365"/>
      <c r="E59" s="365"/>
      <c r="F59" s="366"/>
      <c r="G59" s="58"/>
      <c r="H59" s="59"/>
      <c r="I59" s="354">
        <f t="shared" si="13"/>
        <v>0</v>
      </c>
      <c r="J59" s="354"/>
      <c r="K59" s="354"/>
      <c r="L59" s="137"/>
      <c r="M59" s="137"/>
      <c r="N59" s="138">
        <f t="shared" si="14"/>
        <v>1</v>
      </c>
    </row>
    <row r="60" spans="1:14">
      <c r="A60" s="367" t="s">
        <v>163</v>
      </c>
      <c r="B60" s="368"/>
      <c r="C60" s="368"/>
      <c r="D60" s="368"/>
      <c r="E60" s="368"/>
      <c r="F60" s="368"/>
      <c r="G60" s="368"/>
      <c r="H60" s="369"/>
      <c r="I60" s="355">
        <f>SUM(I56:K59)</f>
        <v>0</v>
      </c>
      <c r="J60" s="355"/>
      <c r="K60" s="355"/>
      <c r="L60" s="137"/>
      <c r="M60" s="137"/>
    </row>
    <row r="61" spans="1:14" s="142" customFormat="1" ht="15" customHeight="1">
      <c r="A61" s="75" t="s">
        <v>90</v>
      </c>
      <c r="B61" s="347" t="s">
        <v>164</v>
      </c>
      <c r="C61" s="347"/>
      <c r="D61" s="347"/>
      <c r="E61" s="347"/>
      <c r="F61" s="347"/>
      <c r="G61" s="347"/>
      <c r="H61" s="347"/>
      <c r="I61" s="347"/>
      <c r="J61" s="347"/>
      <c r="K61" s="348"/>
    </row>
  </sheetData>
  <sheetProtection algorithmName="SHA-512" hashValue="hYRI+vc7gV9/T79/zmivjEhGPNASvOk9wgVEHwDjvUDLoYWbMPhB/9R0Wfd0wiHsiRBhVqSqWxJHK+sA+L9MeQ==" saltValue="li+KCBO3kb/lByyt+DP05w==" spinCount="100000" sheet="1" objects="1" scenarios="1"/>
  <mergeCells count="127">
    <mergeCell ref="C7:D7"/>
    <mergeCell ref="E7:F7"/>
    <mergeCell ref="H7:I7"/>
    <mergeCell ref="J7:K7"/>
    <mergeCell ref="C8:D8"/>
    <mergeCell ref="E8:F8"/>
    <mergeCell ref="H8:I8"/>
    <mergeCell ref="J8:K8"/>
    <mergeCell ref="A1:K1"/>
    <mergeCell ref="B3:K3"/>
    <mergeCell ref="B4:K4"/>
    <mergeCell ref="A5:A6"/>
    <mergeCell ref="C5:D5"/>
    <mergeCell ref="E5:F5"/>
    <mergeCell ref="H5:I5"/>
    <mergeCell ref="J5:K5"/>
    <mergeCell ref="C6:D6"/>
    <mergeCell ref="E6:F6"/>
    <mergeCell ref="H6:I6"/>
    <mergeCell ref="J6:K6"/>
    <mergeCell ref="B10:K10"/>
    <mergeCell ref="A11:A12"/>
    <mergeCell ref="J11:K11"/>
    <mergeCell ref="J12:K12"/>
    <mergeCell ref="J13:K13"/>
    <mergeCell ref="J14:K14"/>
    <mergeCell ref="B11:D12"/>
    <mergeCell ref="E11:F12"/>
    <mergeCell ref="B13:D13"/>
    <mergeCell ref="E13:F13"/>
    <mergeCell ref="B14:D14"/>
    <mergeCell ref="E14:F14"/>
    <mergeCell ref="B36:D36"/>
    <mergeCell ref="J36:K36"/>
    <mergeCell ref="B24:K24"/>
    <mergeCell ref="J18:K18"/>
    <mergeCell ref="J20:K20"/>
    <mergeCell ref="J21:K21"/>
    <mergeCell ref="A22:I22"/>
    <mergeCell ref="J22:K22"/>
    <mergeCell ref="A19:I19"/>
    <mergeCell ref="J19:K19"/>
    <mergeCell ref="B18:D18"/>
    <mergeCell ref="E18:F18"/>
    <mergeCell ref="B20:D20"/>
    <mergeCell ref="E20:F20"/>
    <mergeCell ref="B21:D21"/>
    <mergeCell ref="E21:F21"/>
    <mergeCell ref="A25:A26"/>
    <mergeCell ref="E25:F25"/>
    <mergeCell ref="B27:C27"/>
    <mergeCell ref="B28:C28"/>
    <mergeCell ref="B29:C29"/>
    <mergeCell ref="B30:C30"/>
    <mergeCell ref="B47:C47"/>
    <mergeCell ref="J47:K47"/>
    <mergeCell ref="B48:C48"/>
    <mergeCell ref="J48:K48"/>
    <mergeCell ref="B49:C49"/>
    <mergeCell ref="J49:K49"/>
    <mergeCell ref="A50:I50"/>
    <mergeCell ref="J50:K50"/>
    <mergeCell ref="B42:K42"/>
    <mergeCell ref="A43:A44"/>
    <mergeCell ref="B43:C44"/>
    <mergeCell ref="I43:I44"/>
    <mergeCell ref="J43:K43"/>
    <mergeCell ref="J44:K44"/>
    <mergeCell ref="B45:C45"/>
    <mergeCell ref="J45:K45"/>
    <mergeCell ref="B46:C46"/>
    <mergeCell ref="J46:K46"/>
    <mergeCell ref="B51:K51"/>
    <mergeCell ref="B61:K61"/>
    <mergeCell ref="B52:K52"/>
    <mergeCell ref="A53:A54"/>
    <mergeCell ref="B53:F54"/>
    <mergeCell ref="I53:K53"/>
    <mergeCell ref="I54:K54"/>
    <mergeCell ref="B55:F55"/>
    <mergeCell ref="I55:K55"/>
    <mergeCell ref="B56:F56"/>
    <mergeCell ref="I56:K56"/>
    <mergeCell ref="B57:F57"/>
    <mergeCell ref="I57:K57"/>
    <mergeCell ref="B58:F58"/>
    <mergeCell ref="I58:K58"/>
    <mergeCell ref="B59:F59"/>
    <mergeCell ref="I59:K59"/>
    <mergeCell ref="A60:H60"/>
    <mergeCell ref="I60:K60"/>
    <mergeCell ref="B15:D15"/>
    <mergeCell ref="E15:F15"/>
    <mergeCell ref="J15:K15"/>
    <mergeCell ref="B16:D16"/>
    <mergeCell ref="E16:F16"/>
    <mergeCell ref="J16:K16"/>
    <mergeCell ref="B9:K9"/>
    <mergeCell ref="B23:K23"/>
    <mergeCell ref="B41:K41"/>
    <mergeCell ref="B37:D37"/>
    <mergeCell ref="J37:K37"/>
    <mergeCell ref="B38:D38"/>
    <mergeCell ref="J38:K38"/>
    <mergeCell ref="B39:D39"/>
    <mergeCell ref="J39:K39"/>
    <mergeCell ref="A40:I40"/>
    <mergeCell ref="J40:K40"/>
    <mergeCell ref="B32:K32"/>
    <mergeCell ref="A33:A34"/>
    <mergeCell ref="B33:D34"/>
    <mergeCell ref="J33:K33"/>
    <mergeCell ref="J34:K34"/>
    <mergeCell ref="B35:D35"/>
    <mergeCell ref="J35:K35"/>
    <mergeCell ref="B17:D17"/>
    <mergeCell ref="E17:F17"/>
    <mergeCell ref="J17:K17"/>
    <mergeCell ref="J27:K27"/>
    <mergeCell ref="J28:K28"/>
    <mergeCell ref="J29:K29"/>
    <mergeCell ref="J30:K30"/>
    <mergeCell ref="J31:K31"/>
    <mergeCell ref="B31:H31"/>
    <mergeCell ref="B25:C26"/>
    <mergeCell ref="J25:K25"/>
    <mergeCell ref="J26:K26"/>
  </mergeCells>
  <conditionalFormatting sqref="A9">
    <cfRule type="expression" dxfId="115" priority="22">
      <formula>A9="Jā"</formula>
    </cfRule>
  </conditionalFormatting>
  <conditionalFormatting sqref="A23">
    <cfRule type="expression" dxfId="114" priority="21">
      <formula>A23="Jā"</formula>
    </cfRule>
  </conditionalFormatting>
  <conditionalFormatting sqref="A31">
    <cfRule type="expression" dxfId="113" priority="20">
      <formula>A31="Jā"</formula>
    </cfRule>
  </conditionalFormatting>
  <conditionalFormatting sqref="A41">
    <cfRule type="expression" dxfId="112" priority="19">
      <formula>A41="Jā"</formula>
    </cfRule>
  </conditionalFormatting>
  <conditionalFormatting sqref="A51">
    <cfRule type="expression" dxfId="111" priority="18">
      <formula>A51="Jā"</formula>
    </cfRule>
  </conditionalFormatting>
  <conditionalFormatting sqref="A61">
    <cfRule type="expression" dxfId="110" priority="17">
      <formula>A61="Jā"</formula>
    </cfRule>
  </conditionalFormatting>
  <conditionalFormatting sqref="B8">
    <cfRule type="expression" dxfId="109" priority="84">
      <formula>$B$8=""</formula>
    </cfRule>
  </conditionalFormatting>
  <conditionalFormatting sqref="B46:B49">
    <cfRule type="expression" dxfId="108" priority="39">
      <formula>B46=""</formula>
    </cfRule>
  </conditionalFormatting>
  <conditionalFormatting sqref="B56:B59">
    <cfRule type="expression" dxfId="107" priority="36">
      <formula>B56=""</formula>
    </cfRule>
  </conditionalFormatting>
  <conditionalFormatting sqref="B14:D18 G14:I18 B20:D21 G20:I21">
    <cfRule type="expression" dxfId="106" priority="9">
      <formula>$A$23="Jā"</formula>
    </cfRule>
  </conditionalFormatting>
  <conditionalFormatting sqref="B36:D36">
    <cfRule type="expression" dxfId="105" priority="71">
      <formula>$B$36=""</formula>
    </cfRule>
  </conditionalFormatting>
  <conditionalFormatting sqref="B37:D37">
    <cfRule type="expression" dxfId="104" priority="70">
      <formula>$B$37=""</formula>
    </cfRule>
  </conditionalFormatting>
  <conditionalFormatting sqref="B38:D38">
    <cfRule type="expression" dxfId="103" priority="69">
      <formula>$B$38=""</formula>
    </cfRule>
  </conditionalFormatting>
  <conditionalFormatting sqref="B39:D39">
    <cfRule type="expression" dxfId="102" priority="68">
      <formula>$B$39=""</formula>
    </cfRule>
  </conditionalFormatting>
  <conditionalFormatting sqref="B8:I8">
    <cfRule type="expression" dxfId="101" priority="8">
      <formula>$O$8=0</formula>
    </cfRule>
  </conditionalFormatting>
  <conditionalFormatting sqref="B36:I39">
    <cfRule type="expression" dxfId="100" priority="7">
      <formula>$N$36=0</formula>
    </cfRule>
  </conditionalFormatting>
  <conditionalFormatting sqref="B46:I49">
    <cfRule type="expression" dxfId="99" priority="5">
      <formula>$N$46=0</formula>
    </cfRule>
  </conditionalFormatting>
  <conditionalFormatting sqref="B28:K30">
    <cfRule type="expression" dxfId="98" priority="12">
      <formula>$A$31="Jā"</formula>
    </cfRule>
  </conditionalFormatting>
  <conditionalFormatting sqref="B56:K59">
    <cfRule type="expression" dxfId="97" priority="6">
      <formula>$N$56=0</formula>
    </cfRule>
  </conditionalFormatting>
  <conditionalFormatting sqref="C8:F8">
    <cfRule type="expression" dxfId="96" priority="82">
      <formula>C8=""</formula>
    </cfRule>
  </conditionalFormatting>
  <conditionalFormatting sqref="D28">
    <cfRule type="expression" dxfId="95" priority="16">
      <formula>$D$28=""</formula>
    </cfRule>
  </conditionalFormatting>
  <conditionalFormatting sqref="D29">
    <cfRule type="expression" dxfId="94" priority="15">
      <formula>$D$29=""</formula>
    </cfRule>
  </conditionalFormatting>
  <conditionalFormatting sqref="D30">
    <cfRule type="expression" dxfId="93" priority="14">
      <formula>$D$30=""</formula>
    </cfRule>
  </conditionalFormatting>
  <conditionalFormatting sqref="D46:F49">
    <cfRule type="expression" dxfId="92" priority="38">
      <formula>D46=""</formula>
    </cfRule>
  </conditionalFormatting>
  <conditionalFormatting sqref="E36">
    <cfRule type="expression" dxfId="91" priority="67">
      <formula>$E$36=""</formula>
    </cfRule>
  </conditionalFormatting>
  <conditionalFormatting sqref="E37">
    <cfRule type="expression" dxfId="90" priority="66">
      <formula>$E$37=""</formula>
    </cfRule>
  </conditionalFormatting>
  <conditionalFormatting sqref="E38">
    <cfRule type="expression" dxfId="89" priority="65">
      <formula>$E$38=""</formula>
    </cfRule>
  </conditionalFormatting>
  <conditionalFormatting sqref="E39">
    <cfRule type="expression" dxfId="88" priority="64">
      <formula>$E$39=""</formula>
    </cfRule>
  </conditionalFormatting>
  <conditionalFormatting sqref="E8:F8">
    <cfRule type="expression" dxfId="87" priority="78">
      <formula>$B$8*$C$8*8760/1000&lt;$E$8</formula>
    </cfRule>
  </conditionalFormatting>
  <conditionalFormatting sqref="F36">
    <cfRule type="expression" dxfId="86" priority="63">
      <formula>$F$36=""</formula>
    </cfRule>
  </conditionalFormatting>
  <conditionalFormatting sqref="F37">
    <cfRule type="expression" dxfId="85" priority="62">
      <formula>$F$37=""</formula>
    </cfRule>
  </conditionalFormatting>
  <conditionalFormatting sqref="F38">
    <cfRule type="expression" dxfId="84" priority="61">
      <formula>$F$38=""</formula>
    </cfRule>
  </conditionalFormatting>
  <conditionalFormatting sqref="F39">
    <cfRule type="expression" dxfId="83" priority="60">
      <formula>$F$39=""</formula>
    </cfRule>
  </conditionalFormatting>
  <conditionalFormatting sqref="G8">
    <cfRule type="expression" dxfId="82" priority="83">
      <formula>$G$8=""</formula>
    </cfRule>
  </conditionalFormatting>
  <conditionalFormatting sqref="G36">
    <cfRule type="expression" dxfId="81" priority="59">
      <formula>$G$36=""</formula>
    </cfRule>
    <cfRule type="expression" dxfId="80" priority="58">
      <formula>$E$36*1000/$F$36&lt;$G$36</formula>
    </cfRule>
  </conditionalFormatting>
  <conditionalFormatting sqref="G37">
    <cfRule type="expression" dxfId="79" priority="57">
      <formula>$G$37=""</formula>
    </cfRule>
    <cfRule type="expression" dxfId="78" priority="56">
      <formula>$E$37*1000/$F$37&lt;$G$37</formula>
    </cfRule>
  </conditionalFormatting>
  <conditionalFormatting sqref="G38">
    <cfRule type="expression" dxfId="77" priority="55">
      <formula>$G$38=""</formula>
    </cfRule>
    <cfRule type="expression" dxfId="76" priority="54">
      <formula>$E$38*1000/$F$38&lt;$G$38</formula>
    </cfRule>
  </conditionalFormatting>
  <conditionalFormatting sqref="G39">
    <cfRule type="expression" dxfId="75" priority="53">
      <formula>$G$39=""</formula>
    </cfRule>
    <cfRule type="expression" dxfId="74" priority="52">
      <formula>$E$39*1000/$F$39&lt;$G$39</formula>
    </cfRule>
  </conditionalFormatting>
  <conditionalFormatting sqref="G56:H59">
    <cfRule type="expression" dxfId="73" priority="35">
      <formula>G56=""</formula>
    </cfRule>
  </conditionalFormatting>
  <conditionalFormatting sqref="G14:I18 G20:I21">
    <cfRule type="expression" dxfId="72" priority="79">
      <formula>G14=""</formula>
    </cfRule>
  </conditionalFormatting>
  <conditionalFormatting sqref="H36">
    <cfRule type="expression" dxfId="71" priority="51">
      <formula>$H$36=""</formula>
    </cfRule>
    <cfRule type="expression" dxfId="70" priority="50">
      <formula>$F$36&lt;$H$36</formula>
    </cfRule>
  </conditionalFormatting>
  <conditionalFormatting sqref="H37">
    <cfRule type="expression" dxfId="69" priority="48">
      <formula>$F$37&lt;$H$37</formula>
    </cfRule>
    <cfRule type="expression" dxfId="68" priority="49">
      <formula>$H$37=""</formula>
    </cfRule>
  </conditionalFormatting>
  <conditionalFormatting sqref="H38">
    <cfRule type="expression" dxfId="67" priority="46">
      <formula>$F$38&lt;$H$38</formula>
    </cfRule>
    <cfRule type="expression" dxfId="66" priority="47">
      <formula>$H$38=""</formula>
    </cfRule>
  </conditionalFormatting>
  <conditionalFormatting sqref="H39">
    <cfRule type="expression" dxfId="65" priority="44">
      <formula>$F$39&lt;$H$39</formula>
    </cfRule>
    <cfRule type="expression" dxfId="64" priority="45">
      <formula>$H$39=""</formula>
    </cfRule>
  </conditionalFormatting>
  <conditionalFormatting sqref="H8:I8">
    <cfRule type="expression" dxfId="63" priority="81">
      <formula>H8=""</formula>
    </cfRule>
  </conditionalFormatting>
  <conditionalFormatting sqref="H46:I49">
    <cfRule type="expression" dxfId="62" priority="37">
      <formula>H46=""</formula>
    </cfRule>
  </conditionalFormatting>
  <conditionalFormatting sqref="I28:I30 B14:B18 B20:B21">
    <cfRule type="expression" dxfId="61" priority="80">
      <formula>B14=""</formula>
    </cfRule>
  </conditionalFormatting>
  <conditionalFormatting sqref="I36">
    <cfRule type="expression" dxfId="60" priority="4">
      <formula>$I$36&gt;8760</formula>
    </cfRule>
    <cfRule type="expression" dxfId="59" priority="43">
      <formula>$I$36=""</formula>
    </cfRule>
  </conditionalFormatting>
  <conditionalFormatting sqref="I37">
    <cfRule type="expression" dxfId="58" priority="3">
      <formula>$I$37&gt;8760</formula>
    </cfRule>
    <cfRule type="expression" dxfId="57" priority="42">
      <formula>$I$37=""</formula>
    </cfRule>
  </conditionalFormatting>
  <conditionalFormatting sqref="I38">
    <cfRule type="expression" dxfId="56" priority="41">
      <formula>$I$38=""</formula>
    </cfRule>
    <cfRule type="expression" dxfId="55" priority="2">
      <formula>$I$38&gt;8760</formula>
    </cfRule>
  </conditionalFormatting>
  <conditionalFormatting sqref="I39">
    <cfRule type="expression" dxfId="54" priority="1">
      <formula>$I$39&gt;8760</formula>
    </cfRule>
    <cfRule type="expression" dxfId="53" priority="40">
      <formula>$I$39=""</formula>
    </cfRule>
  </conditionalFormatting>
  <conditionalFormatting sqref="I56:K59">
    <cfRule type="expression" dxfId="52" priority="23">
      <formula>$A$61="Jā"</formula>
    </cfRule>
  </conditionalFormatting>
  <conditionalFormatting sqref="I60:K60">
    <cfRule type="expression" dxfId="51" priority="24">
      <formula>$A$61="Jā"</formula>
    </cfRule>
  </conditionalFormatting>
  <conditionalFormatting sqref="J8:K8">
    <cfRule type="expression" dxfId="50" priority="29">
      <formula>$A$9="Jā"</formula>
    </cfRule>
  </conditionalFormatting>
  <conditionalFormatting sqref="J14:K18 J20:K21">
    <cfRule type="expression" dxfId="49" priority="31">
      <formula>$A$23="Jā"</formula>
    </cfRule>
  </conditionalFormatting>
  <conditionalFormatting sqref="J19:K19">
    <cfRule type="expression" dxfId="48" priority="33">
      <formula>$A$23="Jā"</formula>
    </cfRule>
  </conditionalFormatting>
  <conditionalFormatting sqref="J22:K22">
    <cfRule type="expression" dxfId="47" priority="32">
      <formula>$A$23="Jā"</formula>
    </cfRule>
  </conditionalFormatting>
  <conditionalFormatting sqref="J31:K31">
    <cfRule type="expression" dxfId="46" priority="13">
      <formula>$A$31="Jā"</formula>
    </cfRule>
  </conditionalFormatting>
  <conditionalFormatting sqref="J36:K39">
    <cfRule type="expression" dxfId="45" priority="25">
      <formula>$A$41="Jā"</formula>
    </cfRule>
  </conditionalFormatting>
  <conditionalFormatting sqref="J40:K40">
    <cfRule type="expression" dxfId="44" priority="26">
      <formula>$A$41="Jā"</formula>
    </cfRule>
  </conditionalFormatting>
  <conditionalFormatting sqref="J46:K49">
    <cfRule type="expression" dxfId="43" priority="27">
      <formula>$A$51="Jā"</formula>
    </cfRule>
  </conditionalFormatting>
  <conditionalFormatting sqref="J50:K50">
    <cfRule type="expression" dxfId="42" priority="28">
      <formula>$A$51="Jā"</formula>
    </cfRule>
  </conditionalFormatting>
  <dataValidations count="3">
    <dataValidation type="list" allowBlank="1" showInputMessage="1" showErrorMessage="1" sqref="A23 A51 A9 A41 A31 A61" xr:uid="{B9C2084D-8E29-48A0-BF56-400115B6B361}">
      <formula1>"Jā,Nē"</formula1>
    </dataValidation>
    <dataValidation type="list" allowBlank="1" showInputMessage="1" showErrorMessage="1" sqref="B28:C30" xr:uid="{3927AF88-4FE3-46E9-A245-9DEFE50D52A2}">
      <formula1>$P$23:$P$34</formula1>
    </dataValidation>
    <dataValidation type="list" allowBlank="1" showInputMessage="1" showErrorMessage="1" sqref="G28:G30" xr:uid="{EDF153D9-DB2C-49B4-9B28-6E08B70D7BDC}">
      <formula1>$R$23:$R$32</formula1>
    </dataValidation>
  </dataValidations>
  <printOptions horizontalCentered="1"/>
  <pageMargins left="0.31496062992125984" right="0.31496062992125984" top="0.55118110236220474" bottom="0.55118110236220474"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28"/>
  <sheetViews>
    <sheetView view="pageBreakPreview" zoomScaleNormal="100" zoomScaleSheetLayoutView="100" workbookViewId="0">
      <selection activeCell="S12" sqref="S12"/>
    </sheetView>
  </sheetViews>
  <sheetFormatPr defaultColWidth="8.85546875" defaultRowHeight="14.1"/>
  <cols>
    <col min="1" max="1" width="6.5703125" style="184" bestFit="1" customWidth="1"/>
    <col min="2" max="2" width="39.5703125" style="184" customWidth="1"/>
    <col min="3" max="4" width="10.5703125" style="184" customWidth="1"/>
    <col min="5" max="5" width="12.140625" style="184" customWidth="1"/>
    <col min="6" max="6" width="22.5703125" style="184" customWidth="1"/>
    <col min="7" max="7" width="8.85546875" style="184"/>
    <col min="8" max="8" width="0" style="184" hidden="1" customWidth="1"/>
    <col min="9" max="9" width="109.85546875" style="184" hidden="1" customWidth="1"/>
    <col min="10" max="17" width="0" style="184" hidden="1" customWidth="1"/>
    <col min="18" max="16384" width="8.85546875" style="184"/>
  </cols>
  <sheetData>
    <row r="1" spans="1:13" ht="5.45" customHeight="1"/>
    <row r="2" spans="1:13" ht="41.45" customHeight="1">
      <c r="A2" s="534" t="s">
        <v>268</v>
      </c>
      <c r="B2" s="535"/>
      <c r="C2" s="535"/>
      <c r="D2" s="535"/>
      <c r="E2" s="535"/>
      <c r="F2" s="536"/>
    </row>
    <row r="3" spans="1:13" ht="6.6" customHeight="1">
      <c r="A3" s="220"/>
      <c r="B3" s="220"/>
      <c r="C3" s="220"/>
      <c r="D3" s="220"/>
      <c r="E3" s="220"/>
      <c r="F3" s="220"/>
    </row>
    <row r="4" spans="1:13" ht="42.6" customHeight="1">
      <c r="A4" s="537" t="s">
        <v>269</v>
      </c>
      <c r="B4" s="537"/>
      <c r="C4" s="537"/>
      <c r="D4" s="537"/>
      <c r="E4" s="537"/>
      <c r="F4" s="84" t="s">
        <v>270</v>
      </c>
      <c r="I4" s="221"/>
      <c r="M4" s="184">
        <f>IF(F4="Ir norādīts",1,0)</f>
        <v>0</v>
      </c>
    </row>
    <row r="5" spans="1:13" ht="31.7" customHeight="1">
      <c r="A5" s="538" t="s">
        <v>271</v>
      </c>
      <c r="B5" s="539"/>
      <c r="C5" s="539"/>
      <c r="D5" s="539"/>
      <c r="E5" s="539"/>
      <c r="F5" s="539"/>
      <c r="I5" s="221"/>
    </row>
    <row r="6" spans="1:13">
      <c r="A6" s="516" t="s">
        <v>272</v>
      </c>
      <c r="B6" s="517"/>
      <c r="C6" s="517"/>
      <c r="D6" s="517"/>
      <c r="E6" s="517"/>
      <c r="F6" s="518"/>
    </row>
    <row r="7" spans="1:13" ht="62.45" customHeight="1">
      <c r="A7" s="189" t="s">
        <v>234</v>
      </c>
      <c r="B7" s="189" t="s">
        <v>273</v>
      </c>
      <c r="C7" s="189" t="s">
        <v>274</v>
      </c>
      <c r="D7" s="189" t="s">
        <v>275</v>
      </c>
      <c r="E7" s="189" t="s">
        <v>276</v>
      </c>
      <c r="F7" s="192" t="s">
        <v>277</v>
      </c>
      <c r="I7" s="222" t="s">
        <v>278</v>
      </c>
      <c r="J7" s="184">
        <v>1</v>
      </c>
    </row>
    <row r="8" spans="1:13">
      <c r="A8" s="519" t="s">
        <v>279</v>
      </c>
      <c r="B8" s="522" t="s">
        <v>280</v>
      </c>
      <c r="C8" s="523"/>
      <c r="D8" s="523"/>
      <c r="E8" s="523"/>
      <c r="F8" s="524"/>
      <c r="I8" s="184" t="s">
        <v>281</v>
      </c>
      <c r="J8" s="184">
        <v>2</v>
      </c>
    </row>
    <row r="9" spans="1:13">
      <c r="A9" s="520"/>
      <c r="B9" s="223" t="s">
        <v>282</v>
      </c>
      <c r="C9" s="224">
        <f>IF(M4=1,"",0.1)</f>
        <v>0.1</v>
      </c>
      <c r="D9" s="224">
        <f>IF(M4=1,"",0.6)</f>
        <v>0.6</v>
      </c>
      <c r="E9" s="225">
        <f>IF(M4=1,"",0.7)</f>
        <v>0.7</v>
      </c>
      <c r="F9" s="83"/>
      <c r="I9" s="184" t="s">
        <v>283</v>
      </c>
      <c r="J9" s="184">
        <v>3</v>
      </c>
    </row>
    <row r="10" spans="1:13">
      <c r="A10" s="521"/>
      <c r="B10" s="226" t="s">
        <v>284</v>
      </c>
      <c r="C10" s="224">
        <f>IF(M4=1,"",0.7)</f>
        <v>0.7</v>
      </c>
      <c r="D10" s="227">
        <f>IF(M4=1,"",0)</f>
        <v>0</v>
      </c>
      <c r="E10" s="225">
        <f>IF(M4=1,"",0.7)</f>
        <v>0.7</v>
      </c>
      <c r="F10" s="83"/>
      <c r="I10" s="184" t="s">
        <v>285</v>
      </c>
      <c r="J10" s="184">
        <v>4</v>
      </c>
    </row>
    <row r="11" spans="1:13">
      <c r="A11" s="519" t="s">
        <v>286</v>
      </c>
      <c r="B11" s="228" t="s">
        <v>287</v>
      </c>
      <c r="C11" s="228"/>
      <c r="D11" s="228"/>
      <c r="E11" s="228"/>
      <c r="F11" s="229"/>
    </row>
    <row r="12" spans="1:13">
      <c r="A12" s="520"/>
      <c r="B12" s="223" t="s">
        <v>288</v>
      </c>
      <c r="C12" s="224">
        <f>IF(M4=1,"",0.2)</f>
        <v>0.2</v>
      </c>
      <c r="D12" s="224">
        <f>IF(M4=1,"",1.1)</f>
        <v>1.1000000000000001</v>
      </c>
      <c r="E12" s="225">
        <f>IF(M4=1,"",1.3)</f>
        <v>1.3</v>
      </c>
      <c r="F12" s="83"/>
    </row>
    <row r="13" spans="1:13">
      <c r="A13" s="521"/>
      <c r="B13" s="226" t="s">
        <v>289</v>
      </c>
      <c r="C13" s="224">
        <f>IF(M4=1,"",1.3)</f>
        <v>1.3</v>
      </c>
      <c r="D13" s="224">
        <f>IF(M4=1,"",0)</f>
        <v>0</v>
      </c>
      <c r="E13" s="225">
        <f>IF(M4=1,"",1.3)</f>
        <v>1.3</v>
      </c>
      <c r="F13" s="83"/>
      <c r="M13" s="230"/>
    </row>
    <row r="14" spans="1:13">
      <c r="A14" s="508" t="s">
        <v>290</v>
      </c>
      <c r="B14" s="509"/>
      <c r="C14" s="509"/>
      <c r="D14" s="509"/>
      <c r="E14" s="510"/>
      <c r="F14" s="231">
        <f>SUM(F9:F13)</f>
        <v>0</v>
      </c>
    </row>
    <row r="15" spans="1:13" ht="34.35" customHeight="1">
      <c r="A15" s="511" t="s">
        <v>291</v>
      </c>
      <c r="B15" s="512"/>
      <c r="C15" s="77">
        <f>IFERROR((F9*C9+F10*C10+F12*C12+F13*C13)/F14,0)</f>
        <v>0</v>
      </c>
      <c r="D15" s="77">
        <f>IFERROR((F9*D9+F10*D10+F12*D12+F13*D13)/F14,0)</f>
        <v>0</v>
      </c>
      <c r="E15" s="78">
        <f>IFERROR(ROUND(C15+D15,2),0)</f>
        <v>0</v>
      </c>
      <c r="F15" s="233"/>
    </row>
    <row r="16" spans="1:13" ht="20.100000000000001">
      <c r="A16" s="232"/>
      <c r="B16" s="232"/>
      <c r="C16" s="232"/>
      <c r="D16" s="232"/>
      <c r="E16" s="234"/>
      <c r="F16" s="235"/>
    </row>
    <row r="17" spans="1:6" ht="15.95">
      <c r="A17" s="516" t="s">
        <v>292</v>
      </c>
      <c r="B17" s="517"/>
      <c r="C17" s="517"/>
      <c r="D17" s="517"/>
      <c r="E17" s="517"/>
      <c r="F17" s="518"/>
    </row>
    <row r="18" spans="1:6" ht="43.7" customHeight="1">
      <c r="A18" s="189" t="s">
        <v>234</v>
      </c>
      <c r="B18" s="525" t="str">
        <f>B7</f>
        <v>CSA ražošanas veids</v>
      </c>
      <c r="C18" s="526"/>
      <c r="D18" s="527"/>
      <c r="E18" s="236" t="s">
        <v>293</v>
      </c>
      <c r="F18" s="189" t="s">
        <v>294</v>
      </c>
    </row>
    <row r="19" spans="1:6">
      <c r="A19" s="519" t="s">
        <v>295</v>
      </c>
      <c r="B19" s="522" t="s">
        <v>280</v>
      </c>
      <c r="C19" s="523"/>
      <c r="D19" s="523"/>
      <c r="E19" s="523"/>
      <c r="F19" s="524"/>
    </row>
    <row r="20" spans="1:6">
      <c r="A20" s="520"/>
      <c r="B20" s="528" t="s">
        <v>296</v>
      </c>
      <c r="C20" s="529"/>
      <c r="D20" s="530"/>
      <c r="E20" s="237">
        <f>IF(M4=1,"",0.025)</f>
        <v>2.5000000000000001E-2</v>
      </c>
      <c r="F20" s="231">
        <f>F9</f>
        <v>0</v>
      </c>
    </row>
    <row r="21" spans="1:6">
      <c r="A21" s="521"/>
      <c r="B21" s="531" t="s">
        <v>297</v>
      </c>
      <c r="C21" s="532"/>
      <c r="D21" s="533"/>
      <c r="E21" s="237">
        <f>IF(M4=1,"",0.185)</f>
        <v>0.185</v>
      </c>
      <c r="F21" s="231">
        <f>F10</f>
        <v>0</v>
      </c>
    </row>
    <row r="22" spans="1:6">
      <c r="A22" s="519" t="s">
        <v>298</v>
      </c>
      <c r="B22" s="522" t="s">
        <v>287</v>
      </c>
      <c r="C22" s="523"/>
      <c r="D22" s="523"/>
      <c r="E22" s="228"/>
      <c r="F22" s="238"/>
    </row>
    <row r="23" spans="1:6">
      <c r="A23" s="520"/>
      <c r="B23" s="528" t="s">
        <v>299</v>
      </c>
      <c r="C23" s="529"/>
      <c r="D23" s="530"/>
      <c r="E23" s="237">
        <f>IF(M4=1,"",0.05)</f>
        <v>0.05</v>
      </c>
      <c r="F23" s="231">
        <f>F12</f>
        <v>0</v>
      </c>
    </row>
    <row r="24" spans="1:6">
      <c r="A24" s="521"/>
      <c r="B24" s="531" t="s">
        <v>300</v>
      </c>
      <c r="C24" s="532"/>
      <c r="D24" s="533"/>
      <c r="E24" s="237">
        <f>IF(M4=1,"",0.264)</f>
        <v>0.26400000000000001</v>
      </c>
      <c r="F24" s="231">
        <f>F13</f>
        <v>0</v>
      </c>
    </row>
    <row r="25" spans="1:6">
      <c r="A25" s="508" t="s">
        <v>290</v>
      </c>
      <c r="B25" s="509"/>
      <c r="C25" s="509"/>
      <c r="D25" s="509"/>
      <c r="E25" s="510"/>
      <c r="F25" s="231">
        <f>SUM(F20:F24)</f>
        <v>0</v>
      </c>
    </row>
    <row r="26" spans="1:6" ht="54" customHeight="1">
      <c r="A26" s="513" t="s">
        <v>301</v>
      </c>
      <c r="B26" s="514"/>
      <c r="C26" s="514"/>
      <c r="D26" s="515"/>
      <c r="E26" s="79">
        <f>IFERROR(ROUND(IF(F25=0,0,(E20*F20+E21*F21+E23*F23+E24*F24)/F25),4),0)</f>
        <v>0</v>
      </c>
      <c r="F26" s="239"/>
    </row>
    <row r="27" spans="1:6" ht="31.5" customHeight="1">
      <c r="A27" s="507" t="s">
        <v>302</v>
      </c>
      <c r="B27" s="507"/>
      <c r="C27" s="507"/>
      <c r="D27" s="507"/>
      <c r="E27" s="507"/>
      <c r="F27" s="507"/>
    </row>
    <row r="28" spans="1:6" ht="9" customHeight="1"/>
  </sheetData>
  <sheetProtection algorithmName="SHA-512" hashValue="Lc9UAE7m35iYBK6k4GLjAGbPhpjBUjQqw/OJ/V6Th6J/0quG0CZywogmfIbOjuMwnni+MtsDBHgsVrVkuD3+Yw==" saltValue="UDKuL5jk55RTnUmKt9ZT3Q==" spinCount="100000" sheet="1" objects="1" scenarios="1"/>
  <mergeCells count="22">
    <mergeCell ref="A2:F2"/>
    <mergeCell ref="A8:A10"/>
    <mergeCell ref="A11:A13"/>
    <mergeCell ref="A6:F6"/>
    <mergeCell ref="B8:F8"/>
    <mergeCell ref="A4:E4"/>
    <mergeCell ref="A5:F5"/>
    <mergeCell ref="A27:F27"/>
    <mergeCell ref="A14:E14"/>
    <mergeCell ref="A15:B15"/>
    <mergeCell ref="A26:D26"/>
    <mergeCell ref="A17:F17"/>
    <mergeCell ref="A19:A21"/>
    <mergeCell ref="B19:F19"/>
    <mergeCell ref="A22:A24"/>
    <mergeCell ref="A25:E25"/>
    <mergeCell ref="B18:D18"/>
    <mergeCell ref="B20:D20"/>
    <mergeCell ref="B21:D21"/>
    <mergeCell ref="B23:D23"/>
    <mergeCell ref="B24:D24"/>
    <mergeCell ref="B22:D22"/>
  </mergeCells>
  <conditionalFormatting sqref="A5:F5">
    <cfRule type="expression" dxfId="41" priority="3">
      <formula>$F$4="Nav norādīts"</formula>
    </cfRule>
  </conditionalFormatting>
  <conditionalFormatting sqref="C15:E15 E26">
    <cfRule type="expression" dxfId="40" priority="5">
      <formula>$F$4="Ir norādīts"</formula>
    </cfRule>
    <cfRule type="expression" dxfId="39" priority="7">
      <formula>$M$4=1</formula>
    </cfRule>
    <cfRule type="expression" dxfId="38" priority="9">
      <formula>$M$4=1</formula>
    </cfRule>
  </conditionalFormatting>
  <conditionalFormatting sqref="F4">
    <cfRule type="expression" dxfId="37" priority="2">
      <formula>$M$4=1</formula>
    </cfRule>
  </conditionalFormatting>
  <conditionalFormatting sqref="F9:F10">
    <cfRule type="expression" dxfId="36" priority="11">
      <formula>F9=""</formula>
    </cfRule>
  </conditionalFormatting>
  <conditionalFormatting sqref="F9:F14">
    <cfRule type="expression" dxfId="35" priority="4">
      <formula>$M$4=1</formula>
    </cfRule>
  </conditionalFormatting>
  <conditionalFormatting sqref="F12:F13">
    <cfRule type="expression" dxfId="34" priority="10">
      <formula>F12=""</formula>
    </cfRule>
  </conditionalFormatting>
  <conditionalFormatting sqref="F15 F26">
    <cfRule type="expression" dxfId="33" priority="6">
      <formula>$M$4=1</formula>
    </cfRule>
  </conditionalFormatting>
  <conditionalFormatting sqref="F20:F21 F23:F25">
    <cfRule type="expression" dxfId="32" priority="8">
      <formula>$M$4=1</formula>
    </cfRule>
  </conditionalFormatting>
  <dataValidations count="1">
    <dataValidation type="list" allowBlank="1" showInputMessage="1" showErrorMessage="1" sqref="F4" xr:uid="{011A930A-6F5C-4848-A028-5E02AFB783A2}">
      <formula1>"Nav norādīts,Ir norādīts"</formula1>
    </dataValidation>
  </dataValidations>
  <printOptions horizontalCentered="1"/>
  <pageMargins left="0.11811023622047245" right="0.11811023622047245" top="0.74803149606299213" bottom="0.74803149606299213" header="0.31496062992125984" footer="0.31496062992125984"/>
  <pageSetup paperSize="9" orientation="portrait" horizontalDpi="1200" verticalDpi="1200"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518E1-8463-4132-8452-FAE6953BCE8B}">
  <sheetPr>
    <tabColor theme="8" tint="0.79998168889431442"/>
  </sheetPr>
  <dimension ref="A1:X100"/>
  <sheetViews>
    <sheetView view="pageBreakPreview" zoomScaleNormal="100" zoomScaleSheetLayoutView="100" workbookViewId="0">
      <selection activeCell="N17" sqref="N17"/>
    </sheetView>
  </sheetViews>
  <sheetFormatPr defaultColWidth="8.85546875" defaultRowHeight="14.1"/>
  <cols>
    <col min="1" max="1" width="10.5703125" style="88" customWidth="1"/>
    <col min="2" max="2" width="7.85546875" style="88" customWidth="1"/>
    <col min="3" max="3" width="18.85546875" style="88" customWidth="1"/>
    <col min="4" max="5" width="8.5703125" style="88" customWidth="1"/>
    <col min="6" max="6" width="9.140625" style="88" customWidth="1"/>
    <col min="7" max="7" width="7.85546875" style="88" customWidth="1"/>
    <col min="8" max="9" width="9.85546875" style="88" customWidth="1"/>
    <col min="10" max="10" width="7.85546875" style="88" customWidth="1"/>
    <col min="11" max="11" width="10.140625" style="88" customWidth="1"/>
    <col min="12" max="12" width="9.5703125" style="88" customWidth="1"/>
    <col min="13" max="13" width="9.140625" style="88" customWidth="1"/>
    <col min="14" max="14" width="10.85546875" style="88" customWidth="1"/>
    <col min="15" max="15" width="16.140625" style="88" customWidth="1"/>
    <col min="16" max="24" width="16.140625" style="88" hidden="1" customWidth="1"/>
    <col min="25" max="25" width="16.140625" style="88" customWidth="1"/>
    <col min="26" max="31" width="8.85546875" style="88" customWidth="1"/>
    <col min="32" max="16384" width="8.85546875" style="88"/>
  </cols>
  <sheetData>
    <row r="1" spans="1:17" ht="34.700000000000003" customHeight="1">
      <c r="A1" s="540" t="s">
        <v>303</v>
      </c>
      <c r="B1" s="541"/>
      <c r="C1" s="541"/>
      <c r="D1" s="541"/>
      <c r="E1" s="541"/>
      <c r="F1" s="541"/>
      <c r="G1" s="541"/>
      <c r="H1" s="541"/>
      <c r="I1" s="541"/>
      <c r="J1" s="541"/>
      <c r="K1" s="541"/>
      <c r="L1" s="541"/>
      <c r="M1" s="541"/>
      <c r="N1" s="542"/>
    </row>
    <row r="2" spans="1:17" ht="4.3499999999999996" customHeight="1">
      <c r="A2" s="240"/>
      <c r="B2" s="240"/>
      <c r="C2" s="240"/>
      <c r="D2" s="240"/>
      <c r="E2" s="240"/>
      <c r="F2" s="241"/>
      <c r="G2" s="241"/>
      <c r="H2" s="241"/>
      <c r="I2" s="241"/>
      <c r="J2" s="241"/>
      <c r="K2" s="241"/>
      <c r="L2" s="241"/>
      <c r="M2" s="242"/>
      <c r="N2" s="242"/>
    </row>
    <row r="3" spans="1:17" ht="33" customHeight="1">
      <c r="A3" s="243" t="s">
        <v>304</v>
      </c>
      <c r="B3" s="547" t="s">
        <v>305</v>
      </c>
      <c r="C3" s="547"/>
      <c r="D3" s="547"/>
      <c r="E3" s="547"/>
      <c r="F3" s="547"/>
      <c r="G3" s="547"/>
      <c r="H3" s="547"/>
      <c r="I3" s="547"/>
      <c r="J3" s="547"/>
      <c r="K3" s="244">
        <f>IFERROR(ABS(1-K4/K5),0)</f>
        <v>0</v>
      </c>
      <c r="L3" s="245">
        <f>IFERROR(ABS(K4/'1.sadaļa'!E5-'6.sadaļa'!K5/'1.sadaļa'!E5),0)</f>
        <v>0</v>
      </c>
      <c r="M3" s="581" t="str">
        <f>IF(OR(K3&gt;10%,L3&gt;10),"NAV pieņemams","ir pieņemams")</f>
        <v>ir pieņemams</v>
      </c>
      <c r="N3" s="581"/>
      <c r="Q3" s="88">
        <f>IF(M3="NAV pieņemams",1,0)</f>
        <v>0</v>
      </c>
    </row>
    <row r="4" spans="1:17" s="248" customFormat="1" ht="28.7" customHeight="1">
      <c r="A4" s="243" t="s">
        <v>306</v>
      </c>
      <c r="B4" s="547" t="s">
        <v>307</v>
      </c>
      <c r="C4" s="547"/>
      <c r="D4" s="547"/>
      <c r="E4" s="547"/>
      <c r="F4" s="547"/>
      <c r="G4" s="547"/>
      <c r="H4" s="547"/>
      <c r="I4" s="547"/>
      <c r="J4" s="547"/>
      <c r="K4" s="583">
        <f>'1.sadaļa'!N18*1000+'1.sadaļa'!N44*1000+'2.sadaļa'!J22+'2.sadaļa'!J40+'2.sadaļa'!J50+'2.sadaļa'!I60</f>
        <v>0</v>
      </c>
      <c r="L4" s="583"/>
      <c r="M4" s="246"/>
      <c r="N4" s="247"/>
    </row>
    <row r="5" spans="1:17" s="248" customFormat="1" ht="28.7" customHeight="1">
      <c r="A5" s="243" t="s">
        <v>308</v>
      </c>
      <c r="B5" s="547" t="s">
        <v>309</v>
      </c>
      <c r="C5" s="548"/>
      <c r="D5" s="548"/>
      <c r="E5" s="548"/>
      <c r="F5" s="548"/>
      <c r="G5" s="548"/>
      <c r="H5" s="548"/>
      <c r="I5" s="548"/>
      <c r="J5" s="548"/>
      <c r="K5" s="583">
        <f>SUM(F20:F32)</f>
        <v>0</v>
      </c>
      <c r="L5" s="583"/>
      <c r="M5" s="249"/>
      <c r="N5" s="247"/>
    </row>
    <row r="6" spans="1:17" s="248" customFormat="1" ht="15.6">
      <c r="A6" s="250"/>
      <c r="B6" s="251"/>
      <c r="C6" s="252"/>
      <c r="D6" s="252"/>
      <c r="E6" s="252"/>
      <c r="F6" s="252"/>
      <c r="G6" s="252"/>
      <c r="H6" s="252"/>
      <c r="I6" s="252"/>
      <c r="J6" s="252"/>
      <c r="K6" s="253"/>
      <c r="L6" s="253"/>
      <c r="M6" s="249"/>
      <c r="N6" s="247"/>
    </row>
    <row r="7" spans="1:17" ht="15.6" customHeight="1">
      <c r="A7" s="254" t="s">
        <v>310</v>
      </c>
      <c r="B7" s="582" t="s">
        <v>311</v>
      </c>
      <c r="C7" s="582"/>
      <c r="D7" s="582"/>
      <c r="E7" s="582"/>
      <c r="F7" s="582"/>
      <c r="G7" s="582"/>
      <c r="H7" s="582"/>
      <c r="I7" s="582"/>
      <c r="J7" s="582"/>
      <c r="K7" s="582"/>
      <c r="L7" s="582"/>
      <c r="M7" s="255"/>
      <c r="N7" s="255"/>
    </row>
    <row r="8" spans="1:17" s="259" customFormat="1" ht="12.95">
      <c r="A8" s="256" t="s">
        <v>312</v>
      </c>
      <c r="B8" s="549" t="s">
        <v>313</v>
      </c>
      <c r="C8" s="549"/>
      <c r="D8" s="549"/>
      <c r="E8" s="549"/>
      <c r="F8" s="549"/>
      <c r="G8" s="549"/>
      <c r="H8" s="549"/>
      <c r="I8" s="549"/>
      <c r="J8" s="549"/>
      <c r="K8" s="589"/>
      <c r="L8" s="589"/>
      <c r="M8" s="257"/>
      <c r="N8" s="258">
        <f>IF(M8&gt;=20,1,0)</f>
        <v>0</v>
      </c>
    </row>
    <row r="9" spans="1:17" s="259" customFormat="1" ht="12.95">
      <c r="A9" s="256" t="s">
        <v>314</v>
      </c>
      <c r="B9" s="549" t="s">
        <v>315</v>
      </c>
      <c r="C9" s="549"/>
      <c r="D9" s="549"/>
      <c r="E9" s="549"/>
      <c r="F9" s="549"/>
      <c r="G9" s="549"/>
      <c r="H9" s="549"/>
      <c r="I9" s="549"/>
      <c r="J9" s="549"/>
      <c r="K9" s="589"/>
      <c r="L9" s="589"/>
      <c r="M9" s="587"/>
      <c r="N9" s="588"/>
    </row>
    <row r="10" spans="1:17" s="259" customFormat="1" ht="14.45" customHeight="1">
      <c r="A10" s="256" t="s">
        <v>316</v>
      </c>
      <c r="B10" s="549" t="s">
        <v>317</v>
      </c>
      <c r="C10" s="549"/>
      <c r="D10" s="549"/>
      <c r="E10" s="549"/>
      <c r="F10" s="549"/>
      <c r="G10" s="549"/>
      <c r="H10" s="549"/>
      <c r="I10" s="549"/>
      <c r="J10" s="549"/>
      <c r="K10" s="590">
        <f>F54/1000-F33/1000</f>
        <v>0</v>
      </c>
      <c r="L10" s="590"/>
      <c r="M10" s="585" t="s">
        <v>318</v>
      </c>
      <c r="N10" s="585"/>
    </row>
    <row r="11" spans="1:17" s="259" customFormat="1" ht="12.95">
      <c r="A11" s="256" t="s">
        <v>319</v>
      </c>
      <c r="B11" s="549" t="s">
        <v>320</v>
      </c>
      <c r="C11" s="549"/>
      <c r="D11" s="549"/>
      <c r="E11" s="549"/>
      <c r="F11" s="549"/>
      <c r="G11" s="549"/>
      <c r="H11" s="549"/>
      <c r="I11" s="549"/>
      <c r="J11" s="549"/>
      <c r="K11" s="584">
        <f>(SUM(D41:D45,E41:E43,E45,D46:D50,E46:E48,E50))/1000</f>
        <v>0</v>
      </c>
      <c r="L11" s="584"/>
      <c r="M11" s="586"/>
      <c r="N11" s="586"/>
      <c r="Q11" s="259">
        <f>K11/0.8</f>
        <v>0</v>
      </c>
    </row>
    <row r="12" spans="1:17" s="259" customFormat="1" ht="12.95">
      <c r="A12" s="256" t="s">
        <v>321</v>
      </c>
      <c r="B12" s="549" t="s">
        <v>322</v>
      </c>
      <c r="C12" s="549"/>
      <c r="D12" s="549"/>
      <c r="E12" s="549"/>
      <c r="F12" s="549"/>
      <c r="G12" s="549"/>
      <c r="H12" s="549"/>
      <c r="I12" s="549"/>
      <c r="J12" s="549"/>
      <c r="K12" s="584">
        <f>F55/1000-F34/1000</f>
        <v>0</v>
      </c>
      <c r="L12" s="584"/>
      <c r="M12" s="585" t="s">
        <v>318</v>
      </c>
      <c r="N12" s="585"/>
    </row>
    <row r="13" spans="1:17" s="259" customFormat="1" ht="12.95">
      <c r="A13" s="260" t="s">
        <v>323</v>
      </c>
      <c r="B13" s="549" t="s">
        <v>324</v>
      </c>
      <c r="C13" s="549"/>
      <c r="D13" s="549"/>
      <c r="E13" s="549"/>
      <c r="F13" s="549"/>
      <c r="G13" s="549"/>
      <c r="H13" s="549"/>
      <c r="I13" s="549"/>
      <c r="J13" s="549"/>
      <c r="K13" s="584">
        <f>(SUM(E44,E49,F51:F53))/1000+'1.sadaļa'!N52-(E23+E28+F30+F31+F32)/1000</f>
        <v>0</v>
      </c>
      <c r="L13" s="584"/>
      <c r="M13" s="119"/>
      <c r="Q13" s="259">
        <f>K13/0.8</f>
        <v>0</v>
      </c>
    </row>
    <row r="14" spans="1:17" ht="5.45" customHeight="1">
      <c r="N14" s="261"/>
    </row>
    <row r="15" spans="1:17" ht="15.6">
      <c r="A15" s="552" t="s">
        <v>325</v>
      </c>
      <c r="B15" s="553"/>
      <c r="C15" s="554"/>
      <c r="D15" s="554"/>
      <c r="E15" s="554"/>
      <c r="F15" s="554"/>
      <c r="G15" s="554"/>
      <c r="H15" s="554"/>
      <c r="I15" s="554"/>
      <c r="J15" s="554"/>
      <c r="K15" s="554"/>
      <c r="L15" s="554"/>
      <c r="M15" s="554"/>
      <c r="N15" s="555"/>
    </row>
    <row r="16" spans="1:17" ht="14.1" customHeight="1">
      <c r="A16" s="556" t="s">
        <v>326</v>
      </c>
      <c r="B16" s="550" t="s">
        <v>327</v>
      </c>
      <c r="C16" s="558" t="s">
        <v>328</v>
      </c>
      <c r="D16" s="578" t="s">
        <v>329</v>
      </c>
      <c r="E16" s="579"/>
      <c r="F16" s="580"/>
      <c r="G16" s="550" t="s">
        <v>330</v>
      </c>
      <c r="H16" s="550" t="s">
        <v>331</v>
      </c>
      <c r="I16" s="550" t="s">
        <v>332</v>
      </c>
      <c r="J16" s="550" t="s">
        <v>333</v>
      </c>
      <c r="K16" s="572" t="s">
        <v>334</v>
      </c>
      <c r="L16" s="573"/>
      <c r="M16" s="573"/>
      <c r="N16" s="574"/>
    </row>
    <row r="17" spans="1:23" ht="40.700000000000003" customHeight="1">
      <c r="A17" s="556"/>
      <c r="B17" s="557"/>
      <c r="C17" s="558"/>
      <c r="D17" s="262" t="s">
        <v>335</v>
      </c>
      <c r="E17" s="262" t="s">
        <v>336</v>
      </c>
      <c r="F17" s="262" t="s">
        <v>337</v>
      </c>
      <c r="G17" s="557"/>
      <c r="H17" s="557"/>
      <c r="I17" s="557"/>
      <c r="J17" s="551"/>
      <c r="K17" s="262" t="s">
        <v>338</v>
      </c>
      <c r="L17" s="262" t="s">
        <v>339</v>
      </c>
      <c r="M17" s="264" t="s">
        <v>340</v>
      </c>
      <c r="N17" s="265" t="s">
        <v>341</v>
      </c>
    </row>
    <row r="18" spans="1:23">
      <c r="A18" s="556"/>
      <c r="B18" s="266" t="s">
        <v>187</v>
      </c>
      <c r="C18" s="558"/>
      <c r="D18" s="266" t="s">
        <v>187</v>
      </c>
      <c r="E18" s="266" t="s">
        <v>187</v>
      </c>
      <c r="F18" s="266" t="s">
        <v>187</v>
      </c>
      <c r="G18" s="551"/>
      <c r="H18" s="551"/>
      <c r="I18" s="551"/>
      <c r="J18" s="266" t="s">
        <v>342</v>
      </c>
      <c r="K18" s="263" t="s">
        <v>187</v>
      </c>
      <c r="L18" s="263" t="s">
        <v>187</v>
      </c>
      <c r="M18" s="267" t="s">
        <v>187</v>
      </c>
      <c r="N18" s="267" t="s">
        <v>44</v>
      </c>
    </row>
    <row r="19" spans="1:23" ht="9.6" customHeight="1">
      <c r="A19" s="207">
        <v>1</v>
      </c>
      <c r="B19" s="205">
        <v>2</v>
      </c>
      <c r="C19" s="205">
        <v>3</v>
      </c>
      <c r="D19" s="205">
        <v>4</v>
      </c>
      <c r="E19" s="205">
        <v>5</v>
      </c>
      <c r="F19" s="205">
        <v>6</v>
      </c>
      <c r="G19" s="268">
        <v>7</v>
      </c>
      <c r="H19" s="268">
        <v>8</v>
      </c>
      <c r="I19" s="205">
        <v>9</v>
      </c>
      <c r="J19" s="205">
        <v>10</v>
      </c>
      <c r="K19" s="268">
        <v>11</v>
      </c>
      <c r="L19" s="268">
        <v>12</v>
      </c>
      <c r="M19" s="268">
        <v>13</v>
      </c>
      <c r="N19" s="268">
        <v>14</v>
      </c>
    </row>
    <row r="20" spans="1:23">
      <c r="A20" s="568" t="s">
        <v>343</v>
      </c>
      <c r="B20" s="575"/>
      <c r="C20" s="73"/>
      <c r="D20" s="70"/>
      <c r="E20" s="70"/>
      <c r="F20" s="270">
        <f>IFERROR(IF(D20+E20=0,0,D20+E20),0)</f>
        <v>0</v>
      </c>
      <c r="G20" s="71"/>
      <c r="H20" s="271">
        <f>IFERROR(IF(F20=0,0,VLOOKUP(C20,$Q$22:$W$56,5,FALSE)),0)</f>
        <v>0</v>
      </c>
      <c r="I20" s="271">
        <f>IFERROR(IF(F20="","",VLOOKUP(C20,$Q$22:$W$56,6,FALSE)),0)</f>
        <v>0</v>
      </c>
      <c r="J20" s="271">
        <f>IFERROR(IF(F20="","",VLOOKUP(C20,$Q$22:$W$56,7,FALSE)),0)</f>
        <v>0</v>
      </c>
      <c r="K20" s="270">
        <f>IFERROR(F20/G20*H20,0)</f>
        <v>0</v>
      </c>
      <c r="L20" s="270">
        <f>IFERROR(F20/G20*I20,0)</f>
        <v>0</v>
      </c>
      <c r="M20" s="565">
        <f>SUM(K20:L24)</f>
        <v>0</v>
      </c>
      <c r="N20" s="270">
        <f>IFERROR(IF(F20="","",F20/G20*J20),0)</f>
        <v>0</v>
      </c>
      <c r="Q20" s="346"/>
      <c r="R20" s="346"/>
    </row>
    <row r="21" spans="1:23">
      <c r="A21" s="569"/>
      <c r="B21" s="576"/>
      <c r="C21" s="73"/>
      <c r="D21" s="70"/>
      <c r="E21" s="70"/>
      <c r="F21" s="270">
        <f>IFERROR(IF(D21+E21=0,0,D21+E21),0)</f>
        <v>0</v>
      </c>
      <c r="G21" s="71"/>
      <c r="H21" s="271">
        <f>IFERROR(IF(F21=0,0,VLOOKUP(C21,$Q$22:$W$56,5,FALSE)),0)</f>
        <v>0</v>
      </c>
      <c r="I21" s="271">
        <f>IF(F21=0,0,VLOOKUP(C21,$Q$22:$W$56,6,FALSE))</f>
        <v>0</v>
      </c>
      <c r="J21" s="271">
        <f>IF(F21=0,0,VLOOKUP(C21,$Q$22:$W$56,7,FALSE))</f>
        <v>0</v>
      </c>
      <c r="K21" s="270">
        <f>IFERROR(F21/G21*H21,0)</f>
        <v>0</v>
      </c>
      <c r="L21" s="270">
        <f>IFERROR(F21/G21*I21,0)</f>
        <v>0</v>
      </c>
      <c r="M21" s="566"/>
      <c r="N21" s="270">
        <f t="shared" ref="N21:N26" si="0">IFERROR(IF(F21="","",F21/G21*J21),0)</f>
        <v>0</v>
      </c>
      <c r="Q21" s="91">
        <v>1</v>
      </c>
      <c r="R21" s="91">
        <v>2</v>
      </c>
      <c r="S21" s="91">
        <v>3</v>
      </c>
      <c r="T21" s="91">
        <v>4</v>
      </c>
      <c r="U21" s="91">
        <v>5</v>
      </c>
      <c r="V21" s="91">
        <v>6</v>
      </c>
      <c r="W21" s="91">
        <v>7</v>
      </c>
    </row>
    <row r="22" spans="1:23">
      <c r="A22" s="569"/>
      <c r="B22" s="576"/>
      <c r="C22" s="273" t="s">
        <v>344</v>
      </c>
      <c r="D22" s="70"/>
      <c r="E22" s="70"/>
      <c r="F22" s="270">
        <f t="shared" ref="F22:F24" si="1">IFERROR(IF(D22+E22=0,0,D22+E22),0)</f>
        <v>0</v>
      </c>
      <c r="G22" s="274"/>
      <c r="H22" s="271">
        <f t="shared" ref="H22:H32" si="2">IF(F22="","",VLOOKUP(C22,$Q$22:$W$56,5,FALSE))</f>
        <v>0</v>
      </c>
      <c r="I22" s="271">
        <f t="shared" ref="I22:I32" si="3">IF(F22="","",VLOOKUP(C22,$Q$22:$W$56,6,FALSE))</f>
        <v>1</v>
      </c>
      <c r="J22" s="271">
        <f t="shared" ref="J22:J32" si="4">IF(F22="","",VLOOKUP(C22,$Q$22:$W$56,7,FALSE))</f>
        <v>0</v>
      </c>
      <c r="K22" s="270">
        <f>IFERROR(F22*H22,"")</f>
        <v>0</v>
      </c>
      <c r="L22" s="270">
        <f>IFERROR(F22*I22,"")</f>
        <v>0</v>
      </c>
      <c r="M22" s="566"/>
      <c r="N22" s="270">
        <f>IFERROR(IF(F22="","",F22*J22),0)</f>
        <v>0</v>
      </c>
      <c r="Q22" s="88" t="s">
        <v>42</v>
      </c>
      <c r="R22" s="88">
        <v>11.8</v>
      </c>
      <c r="S22" s="88" t="s">
        <v>43</v>
      </c>
      <c r="T22" s="88" t="s">
        <v>44</v>
      </c>
      <c r="U22" s="91">
        <v>1.1000000000000001</v>
      </c>
      <c r="V22" s="91">
        <v>0</v>
      </c>
      <c r="W22" s="91">
        <v>0.26700000000000002</v>
      </c>
    </row>
    <row r="23" spans="1:23">
      <c r="A23" s="569"/>
      <c r="B23" s="576"/>
      <c r="C23" s="273" t="s">
        <v>71</v>
      </c>
      <c r="D23" s="70"/>
      <c r="E23" s="270">
        <f>'2.sadaļa'!J19</f>
        <v>0</v>
      </c>
      <c r="F23" s="270">
        <f t="shared" si="1"/>
        <v>0</v>
      </c>
      <c r="G23" s="274"/>
      <c r="H23" s="271">
        <f t="shared" si="2"/>
        <v>1.9</v>
      </c>
      <c r="I23" s="271">
        <f t="shared" si="3"/>
        <v>0.6</v>
      </c>
      <c r="J23" s="271">
        <f t="shared" si="4"/>
        <v>0.109</v>
      </c>
      <c r="K23" s="270">
        <f>IFERROR(F23*H23,"")</f>
        <v>0</v>
      </c>
      <c r="L23" s="270">
        <f>IFERROR(F23*I23,"")</f>
        <v>0</v>
      </c>
      <c r="M23" s="566"/>
      <c r="N23" s="270">
        <f>IFERROR(IF(F23="","",F23*J23),0)</f>
        <v>0</v>
      </c>
      <c r="Q23" s="88" t="s">
        <v>45</v>
      </c>
      <c r="R23" s="88">
        <v>11.28</v>
      </c>
      <c r="S23" s="88" t="s">
        <v>43</v>
      </c>
      <c r="T23" s="88" t="s">
        <v>44</v>
      </c>
      <c r="U23" s="91">
        <v>1.1000000000000001</v>
      </c>
      <c r="V23" s="91">
        <v>0</v>
      </c>
      <c r="W23" s="91">
        <v>0.27900000000000003</v>
      </c>
    </row>
    <row r="24" spans="1:23">
      <c r="A24" s="570"/>
      <c r="B24" s="577"/>
      <c r="C24" s="273" t="s">
        <v>345</v>
      </c>
      <c r="D24" s="70"/>
      <c r="E24" s="70"/>
      <c r="F24" s="270">
        <f t="shared" si="1"/>
        <v>0</v>
      </c>
      <c r="G24" s="274"/>
      <c r="H24" s="271">
        <f t="shared" si="2"/>
        <v>0</v>
      </c>
      <c r="I24" s="271">
        <f t="shared" si="3"/>
        <v>1</v>
      </c>
      <c r="J24" s="271">
        <f t="shared" si="4"/>
        <v>0</v>
      </c>
      <c r="K24" s="270">
        <f>IFERROR(F24*H24,"")</f>
        <v>0</v>
      </c>
      <c r="L24" s="270">
        <f>IFERROR(F24*I24,"")</f>
        <v>0</v>
      </c>
      <c r="M24" s="567"/>
      <c r="N24" s="270">
        <f>IFERROR(IF(F24="","",F24*J24),0)</f>
        <v>0</v>
      </c>
      <c r="Q24" s="88" t="s">
        <v>46</v>
      </c>
      <c r="R24" s="88">
        <v>12.65</v>
      </c>
      <c r="S24" s="88" t="s">
        <v>43</v>
      </c>
      <c r="T24" s="88" t="s">
        <v>44</v>
      </c>
      <c r="U24" s="91">
        <v>1.1000000000000001</v>
      </c>
      <c r="V24" s="91">
        <v>0</v>
      </c>
      <c r="W24" s="91">
        <v>0.22700000000000001</v>
      </c>
    </row>
    <row r="25" spans="1:23" ht="14.1" customHeight="1">
      <c r="A25" s="559" t="s">
        <v>346</v>
      </c>
      <c r="B25" s="562">
        <f>'2.sadaļa'!J22+'2.sadaļa'!J31</f>
        <v>0</v>
      </c>
      <c r="C25" s="73"/>
      <c r="D25" s="70"/>
      <c r="E25" s="70"/>
      <c r="F25" s="270">
        <f>IFERROR(IF(D25+E25=0,0,D25+E25),0)</f>
        <v>0</v>
      </c>
      <c r="G25" s="71"/>
      <c r="H25" s="271">
        <f>IFERROR(IF(F25="","",VLOOKUP(C25,$Q$22:$W$56,5,FALSE)),0)</f>
        <v>0</v>
      </c>
      <c r="I25" s="271">
        <f>IFERROR(IF(F25="","",VLOOKUP(C25,$Q$22:$W$56,6,FALSE)),0)</f>
        <v>0</v>
      </c>
      <c r="J25" s="271">
        <f>IFERROR(IF(F25="","",VLOOKUP(C25,$Q$22:$W$56,7,FALSE)),0)</f>
        <v>0</v>
      </c>
      <c r="K25" s="270">
        <f>IFERROR(F25/G25*H25,0)</f>
        <v>0</v>
      </c>
      <c r="L25" s="270">
        <f>IFERROR(F25/G25*I25,0)</f>
        <v>0</v>
      </c>
      <c r="M25" s="565">
        <f>SUM(K25:L29)</f>
        <v>0</v>
      </c>
      <c r="N25" s="270">
        <f t="shared" si="0"/>
        <v>0</v>
      </c>
      <c r="Q25" s="88" t="s">
        <v>47</v>
      </c>
      <c r="R25" s="88">
        <v>9.16</v>
      </c>
      <c r="S25" s="88" t="s">
        <v>43</v>
      </c>
      <c r="T25" s="88" t="s">
        <v>44</v>
      </c>
      <c r="U25" s="91">
        <v>1.1000000000000001</v>
      </c>
      <c r="V25" s="91">
        <v>0</v>
      </c>
      <c r="W25" s="91">
        <v>0.27100000000000002</v>
      </c>
    </row>
    <row r="26" spans="1:23">
      <c r="A26" s="560"/>
      <c r="B26" s="563"/>
      <c r="C26" s="73"/>
      <c r="D26" s="70"/>
      <c r="E26" s="70"/>
      <c r="F26" s="270">
        <f t="shared" ref="F26:F29" si="5">IFERROR(IF(D26+E26=0,0,D26+E26),0)</f>
        <v>0</v>
      </c>
      <c r="G26" s="71"/>
      <c r="H26" s="271">
        <f>IFERROR(IF(F26="","",VLOOKUP(C26,$Q$22:$W$56,5,FALSE)),0)</f>
        <v>0</v>
      </c>
      <c r="I26" s="271">
        <f>IFERROR(IF(F26="","",VLOOKUP(C26,$Q$22:$W$56,6,FALSE)),0)</f>
        <v>0</v>
      </c>
      <c r="J26" s="271">
        <f>IFERROR(IF(F26="","",VLOOKUP(C26,$Q$22:$W$56,7,FALSE)),0)</f>
        <v>0</v>
      </c>
      <c r="K26" s="270">
        <f>IFERROR(F26/G26*H26,0)</f>
        <v>0</v>
      </c>
      <c r="L26" s="270">
        <f>IFERROR(F26/G26*I26,0)</f>
        <v>0</v>
      </c>
      <c r="M26" s="566"/>
      <c r="N26" s="270">
        <f t="shared" si="0"/>
        <v>0</v>
      </c>
      <c r="Q26" s="88" t="s">
        <v>61</v>
      </c>
      <c r="R26" s="88">
        <v>9.5</v>
      </c>
      <c r="S26" s="88" t="s">
        <v>62</v>
      </c>
      <c r="T26" s="88" t="s">
        <v>63</v>
      </c>
      <c r="U26" s="91">
        <v>1.1000000000000001</v>
      </c>
      <c r="V26" s="91">
        <v>0</v>
      </c>
      <c r="W26" s="91">
        <v>0.20200000000000001</v>
      </c>
    </row>
    <row r="27" spans="1:23">
      <c r="A27" s="560"/>
      <c r="B27" s="563"/>
      <c r="C27" s="273" t="s">
        <v>344</v>
      </c>
      <c r="D27" s="70"/>
      <c r="E27" s="70"/>
      <c r="F27" s="270">
        <f t="shared" si="5"/>
        <v>0</v>
      </c>
      <c r="G27" s="274"/>
      <c r="H27" s="271">
        <f t="shared" si="2"/>
        <v>0</v>
      </c>
      <c r="I27" s="271">
        <f t="shared" si="3"/>
        <v>1</v>
      </c>
      <c r="J27" s="271">
        <f t="shared" si="4"/>
        <v>0</v>
      </c>
      <c r="K27" s="270">
        <f>IFERROR(F27*H27,"")</f>
        <v>0</v>
      </c>
      <c r="L27" s="270">
        <f>IFERROR(F27*I27,"")</f>
        <v>0</v>
      </c>
      <c r="M27" s="566"/>
      <c r="N27" s="270">
        <f>IFERROR(IF(F27="","",F27*J27),0)</f>
        <v>0</v>
      </c>
      <c r="Q27" s="88" t="s">
        <v>52</v>
      </c>
      <c r="R27" s="88">
        <v>2140</v>
      </c>
      <c r="S27" s="88" t="s">
        <v>53</v>
      </c>
      <c r="T27" s="88" t="s">
        <v>54</v>
      </c>
      <c r="U27" s="91">
        <v>0.2</v>
      </c>
      <c r="V27" s="91">
        <v>1</v>
      </c>
      <c r="W27" s="91">
        <v>0.04</v>
      </c>
    </row>
    <row r="28" spans="1:23">
      <c r="A28" s="560"/>
      <c r="B28" s="563"/>
      <c r="C28" s="273" t="str">
        <f>C23</f>
        <v>Elektroenerģija no tīkla</v>
      </c>
      <c r="D28" s="70"/>
      <c r="E28" s="276">
        <f>'2.sadaļa'!J22</f>
        <v>0</v>
      </c>
      <c r="F28" s="270">
        <f t="shared" si="5"/>
        <v>0</v>
      </c>
      <c r="G28" s="274"/>
      <c r="H28" s="271">
        <f t="shared" si="2"/>
        <v>1.9</v>
      </c>
      <c r="I28" s="271">
        <f t="shared" si="3"/>
        <v>0.6</v>
      </c>
      <c r="J28" s="271">
        <f t="shared" si="4"/>
        <v>0.109</v>
      </c>
      <c r="K28" s="270">
        <f>IFERROR(F28*H28,"")</f>
        <v>0</v>
      </c>
      <c r="L28" s="270">
        <f>IFERROR(F28*I28,"")</f>
        <v>0</v>
      </c>
      <c r="M28" s="566"/>
      <c r="N28" s="270">
        <f>IFERROR(IF(F28="","",F28*J28),0)</f>
        <v>0</v>
      </c>
      <c r="Q28" s="88" t="s">
        <v>55</v>
      </c>
      <c r="R28" s="88">
        <v>750</v>
      </c>
      <c r="S28" s="88" t="s">
        <v>56</v>
      </c>
      <c r="T28" s="88" t="s">
        <v>57</v>
      </c>
      <c r="U28" s="91">
        <v>0.2</v>
      </c>
      <c r="V28" s="91">
        <v>1</v>
      </c>
      <c r="W28" s="91">
        <v>0.04</v>
      </c>
    </row>
    <row r="29" spans="1:23">
      <c r="A29" s="561"/>
      <c r="B29" s="564"/>
      <c r="C29" s="273" t="s">
        <v>345</v>
      </c>
      <c r="D29" s="70"/>
      <c r="E29" s="70"/>
      <c r="F29" s="270">
        <f t="shared" si="5"/>
        <v>0</v>
      </c>
      <c r="G29" s="274"/>
      <c r="H29" s="271">
        <f t="shared" si="2"/>
        <v>0</v>
      </c>
      <c r="I29" s="271">
        <f t="shared" si="3"/>
        <v>1</v>
      </c>
      <c r="J29" s="271">
        <f t="shared" si="4"/>
        <v>0</v>
      </c>
      <c r="K29" s="270">
        <f>IFERROR(F29*H29,"")</f>
        <v>0</v>
      </c>
      <c r="L29" s="270">
        <f>IFERROR(F29*I29,"")</f>
        <v>0</v>
      </c>
      <c r="M29" s="567"/>
      <c r="N29" s="270">
        <f>IFERROR(IF(F29="","",F29*J29),0)</f>
        <v>0</v>
      </c>
      <c r="Q29" s="88" t="s">
        <v>58</v>
      </c>
      <c r="R29" s="88">
        <v>910</v>
      </c>
      <c r="S29" s="88" t="s">
        <v>56</v>
      </c>
      <c r="T29" s="88" t="s">
        <v>57</v>
      </c>
      <c r="U29" s="91">
        <v>0.2</v>
      </c>
      <c r="V29" s="91">
        <v>1</v>
      </c>
      <c r="W29" s="91">
        <v>0.04</v>
      </c>
    </row>
    <row r="30" spans="1:23" ht="14.45" customHeight="1">
      <c r="A30" s="275" t="s">
        <v>347</v>
      </c>
      <c r="B30" s="272">
        <f>'2.sadaļa'!J40</f>
        <v>0</v>
      </c>
      <c r="C30" s="273" t="s">
        <v>71</v>
      </c>
      <c r="D30" s="277"/>
      <c r="E30" s="277"/>
      <c r="F30" s="270">
        <f>B30</f>
        <v>0</v>
      </c>
      <c r="G30" s="274"/>
      <c r="H30" s="271">
        <f t="shared" si="2"/>
        <v>1.9</v>
      </c>
      <c r="I30" s="271">
        <f t="shared" si="3"/>
        <v>0.6</v>
      </c>
      <c r="J30" s="271">
        <f t="shared" si="4"/>
        <v>0.109</v>
      </c>
      <c r="K30" s="270">
        <f t="shared" ref="K30:K32" si="6">IFERROR(F30*H30,"")</f>
        <v>0</v>
      </c>
      <c r="L30" s="270">
        <f t="shared" ref="L30:L32" si="7">IFERROR(F30*I30,"")</f>
        <v>0</v>
      </c>
      <c r="M30" s="270">
        <f>IFERROR(IF(F30="","",K30+L30),0)</f>
        <v>0</v>
      </c>
      <c r="N30" s="270">
        <f t="shared" ref="N30:N32" si="8">IFERROR(IF(F30="","",F30*J30),0)</f>
        <v>0</v>
      </c>
      <c r="Q30" s="88" t="s">
        <v>59</v>
      </c>
      <c r="R30" s="88">
        <v>4.66</v>
      </c>
      <c r="S30" s="88" t="s">
        <v>43</v>
      </c>
      <c r="T30" s="88" t="s">
        <v>44</v>
      </c>
      <c r="U30" s="91">
        <v>0.2</v>
      </c>
      <c r="V30" s="91">
        <v>1</v>
      </c>
      <c r="W30" s="91">
        <v>0.04</v>
      </c>
    </row>
    <row r="31" spans="1:23" ht="14.45" customHeight="1">
      <c r="A31" s="275" t="s">
        <v>348</v>
      </c>
      <c r="B31" s="272">
        <f>'2.sadaļa'!J50</f>
        <v>0</v>
      </c>
      <c r="C31" s="273" t="s">
        <v>71</v>
      </c>
      <c r="D31" s="277"/>
      <c r="E31" s="277"/>
      <c r="F31" s="270">
        <f>B31</f>
        <v>0</v>
      </c>
      <c r="G31" s="274"/>
      <c r="H31" s="271">
        <f t="shared" si="2"/>
        <v>1.9</v>
      </c>
      <c r="I31" s="271">
        <f t="shared" si="3"/>
        <v>0.6</v>
      </c>
      <c r="J31" s="271">
        <f t="shared" si="4"/>
        <v>0.109</v>
      </c>
      <c r="K31" s="270">
        <f t="shared" si="6"/>
        <v>0</v>
      </c>
      <c r="L31" s="270">
        <f t="shared" si="7"/>
        <v>0</v>
      </c>
      <c r="M31" s="270">
        <f t="shared" ref="M31:M32" si="9">IFERROR(IF(F31="","",K31+L31),0)</f>
        <v>0</v>
      </c>
      <c r="N31" s="270">
        <f t="shared" si="8"/>
        <v>0</v>
      </c>
      <c r="Q31" s="88" t="s">
        <v>60</v>
      </c>
      <c r="R31" s="88">
        <v>4.87</v>
      </c>
      <c r="S31" s="88" t="s">
        <v>43</v>
      </c>
      <c r="T31" s="88" t="s">
        <v>44</v>
      </c>
      <c r="U31" s="91">
        <v>0.2</v>
      </c>
      <c r="V31" s="91">
        <v>1</v>
      </c>
      <c r="W31" s="91">
        <v>0.04</v>
      </c>
    </row>
    <row r="32" spans="1:23" ht="14.45" customHeight="1">
      <c r="A32" s="269" t="s">
        <v>349</v>
      </c>
      <c r="B32" s="277"/>
      <c r="C32" s="278" t="s">
        <v>71</v>
      </c>
      <c r="D32" s="277"/>
      <c r="E32" s="277"/>
      <c r="F32" s="279">
        <f>'2.sadaļa'!I60</f>
        <v>0</v>
      </c>
      <c r="G32" s="277"/>
      <c r="H32" s="271">
        <f t="shared" si="2"/>
        <v>1.9</v>
      </c>
      <c r="I32" s="271">
        <f t="shared" si="3"/>
        <v>0.6</v>
      </c>
      <c r="J32" s="271">
        <f t="shared" si="4"/>
        <v>0.109</v>
      </c>
      <c r="K32" s="270">
        <f t="shared" si="6"/>
        <v>0</v>
      </c>
      <c r="L32" s="270">
        <f t="shared" si="7"/>
        <v>0</v>
      </c>
      <c r="M32" s="270">
        <f t="shared" si="9"/>
        <v>0</v>
      </c>
      <c r="N32" s="270">
        <f t="shared" si="8"/>
        <v>0</v>
      </c>
      <c r="U32" s="91"/>
      <c r="V32" s="91"/>
      <c r="W32" s="91"/>
    </row>
    <row r="33" spans="1:23" ht="14.45" customHeight="1">
      <c r="A33" s="543" t="s">
        <v>350</v>
      </c>
      <c r="B33" s="544"/>
      <c r="C33" s="544"/>
      <c r="D33" s="544"/>
      <c r="E33" s="545"/>
      <c r="F33" s="72"/>
      <c r="G33" s="274"/>
      <c r="H33" s="271">
        <f>IF(F33=0,0,IF(C21="",-H20,-(F20/G20*H20+F21/G21*H21)/(F20/G20+F21/G21)))</f>
        <v>0</v>
      </c>
      <c r="I33" s="271">
        <f>IFERROR(IF(F33="",,IF(C21="",1-I20,1-(F20/G20*I20+F21/G21*I21)/(F20/G20+F21/G21))),0)</f>
        <v>0</v>
      </c>
      <c r="J33" s="271">
        <f>IFERROR(IF(F33="",0,IF(C21="",-J20,-(F20/G20*J20+F21/G21*J21)/(F20/G20+F21/G21))),0)</f>
        <v>0</v>
      </c>
      <c r="K33" s="270">
        <f>IFERROR(F33*H33,"")</f>
        <v>0</v>
      </c>
      <c r="L33" s="270">
        <f>IFERROR(F33*I33,"")</f>
        <v>0</v>
      </c>
      <c r="M33" s="270">
        <f>IFERROR(IF(F33="",0,K33+L33),0)</f>
        <v>0</v>
      </c>
      <c r="N33" s="270">
        <f>IFERROR(IF(F33="",0,F33*J33),0)</f>
        <v>0</v>
      </c>
      <c r="Q33" s="88" t="s">
        <v>351</v>
      </c>
      <c r="U33" s="91">
        <f>'5.sadaļa'!C15</f>
        <v>0</v>
      </c>
      <c r="V33" s="91">
        <f>'5.sadaļa'!D15</f>
        <v>0</v>
      </c>
      <c r="W33" s="91">
        <f>'5.sadaļa'!E26</f>
        <v>0</v>
      </c>
    </row>
    <row r="34" spans="1:23" ht="14.45" customHeight="1">
      <c r="A34" s="543" t="s">
        <v>352</v>
      </c>
      <c r="B34" s="544"/>
      <c r="C34" s="544"/>
      <c r="D34" s="544"/>
      <c r="E34" s="545"/>
      <c r="F34" s="72"/>
      <c r="G34" s="274"/>
      <c r="H34" s="271">
        <f>IF(F34="",0,-1.9)</f>
        <v>0</v>
      </c>
      <c r="I34" s="271">
        <f>IF(F34="",0,0.4)</f>
        <v>0</v>
      </c>
      <c r="J34" s="271">
        <f>IF(F34="",0,-0.109)</f>
        <v>0</v>
      </c>
      <c r="K34" s="270">
        <f>IFERROR(F34*H34,"")</f>
        <v>0</v>
      </c>
      <c r="L34" s="270">
        <f>IFERROR(F34*I34,"")</f>
        <v>0</v>
      </c>
      <c r="M34" s="270">
        <f>IFERROR(IF(F34="",0,K34+L34),0)</f>
        <v>0</v>
      </c>
      <c r="N34" s="270">
        <f>IFERROR(IF(F34="",0,F34*J34),0)</f>
        <v>0</v>
      </c>
      <c r="Q34" s="88" t="s">
        <v>344</v>
      </c>
      <c r="U34" s="91">
        <v>0</v>
      </c>
      <c r="V34" s="91">
        <v>1</v>
      </c>
      <c r="W34" s="91">
        <v>0</v>
      </c>
    </row>
    <row r="35" spans="1:23" ht="16.350000000000001" customHeight="1">
      <c r="A35" s="280"/>
      <c r="B35" s="280"/>
      <c r="C35" s="281"/>
      <c r="D35" s="546"/>
      <c r="E35" s="546"/>
      <c r="F35" s="282"/>
      <c r="G35" s="283"/>
      <c r="H35" s="280"/>
      <c r="I35" s="280"/>
      <c r="J35" s="284" t="s">
        <v>290</v>
      </c>
      <c r="K35" s="285">
        <f>SUM(K20:K34)</f>
        <v>0</v>
      </c>
      <c r="L35" s="285">
        <f>SUM(L20:L34)</f>
        <v>0</v>
      </c>
      <c r="M35" s="285">
        <f>SUM(M20:M34)</f>
        <v>0</v>
      </c>
      <c r="N35" s="285">
        <f>SUM(N20:N34)</f>
        <v>0</v>
      </c>
      <c r="Q35" s="88" t="s">
        <v>71</v>
      </c>
      <c r="U35" s="91">
        <v>1.9</v>
      </c>
      <c r="V35" s="91">
        <v>0.6</v>
      </c>
      <c r="W35" s="91">
        <v>0.109</v>
      </c>
    </row>
    <row r="36" spans="1:23" ht="15.6">
      <c r="A36" s="552" t="s">
        <v>353</v>
      </c>
      <c r="B36" s="553"/>
      <c r="C36" s="554"/>
      <c r="D36" s="554"/>
      <c r="E36" s="554"/>
      <c r="F36" s="554"/>
      <c r="G36" s="554"/>
      <c r="H36" s="554"/>
      <c r="I36" s="554"/>
      <c r="J36" s="554"/>
      <c r="K36" s="554"/>
      <c r="L36" s="554"/>
      <c r="M36" s="554"/>
      <c r="N36" s="555"/>
      <c r="Q36" s="88" t="s">
        <v>345</v>
      </c>
      <c r="U36" s="88">
        <v>0</v>
      </c>
      <c r="V36" s="88">
        <v>1</v>
      </c>
      <c r="W36" s="88">
        <v>0</v>
      </c>
    </row>
    <row r="37" spans="1:23" ht="14.1" customHeight="1">
      <c r="A37" s="556" t="s">
        <v>326</v>
      </c>
      <c r="B37" s="550" t="s">
        <v>327</v>
      </c>
      <c r="C37" s="558" t="s">
        <v>328</v>
      </c>
      <c r="D37" s="578" t="s">
        <v>329</v>
      </c>
      <c r="E37" s="579"/>
      <c r="F37" s="580"/>
      <c r="G37" s="550" t="s">
        <v>330</v>
      </c>
      <c r="H37" s="550" t="s">
        <v>331</v>
      </c>
      <c r="I37" s="550" t="s">
        <v>332</v>
      </c>
      <c r="J37" s="550" t="s">
        <v>333</v>
      </c>
      <c r="K37" s="572" t="s">
        <v>334</v>
      </c>
      <c r="L37" s="573"/>
      <c r="M37" s="573"/>
      <c r="N37" s="574"/>
    </row>
    <row r="38" spans="1:23" ht="40.700000000000003" customHeight="1">
      <c r="A38" s="556"/>
      <c r="B38" s="557"/>
      <c r="C38" s="558"/>
      <c r="D38" s="262" t="s">
        <v>335</v>
      </c>
      <c r="E38" s="262" t="s">
        <v>336</v>
      </c>
      <c r="F38" s="262" t="s">
        <v>337</v>
      </c>
      <c r="G38" s="557"/>
      <c r="H38" s="557"/>
      <c r="I38" s="557"/>
      <c r="J38" s="551"/>
      <c r="K38" s="262" t="s">
        <v>338</v>
      </c>
      <c r="L38" s="262" t="s">
        <v>339</v>
      </c>
      <c r="M38" s="264" t="s">
        <v>340</v>
      </c>
      <c r="N38" s="265" t="s">
        <v>341</v>
      </c>
    </row>
    <row r="39" spans="1:23">
      <c r="A39" s="556"/>
      <c r="B39" s="266" t="s">
        <v>187</v>
      </c>
      <c r="C39" s="558"/>
      <c r="D39" s="266" t="s">
        <v>187</v>
      </c>
      <c r="E39" s="266" t="s">
        <v>187</v>
      </c>
      <c r="F39" s="266" t="s">
        <v>187</v>
      </c>
      <c r="G39" s="551"/>
      <c r="H39" s="551"/>
      <c r="I39" s="551"/>
      <c r="J39" s="266" t="s">
        <v>342</v>
      </c>
      <c r="K39" s="263" t="s">
        <v>187</v>
      </c>
      <c r="L39" s="263" t="s">
        <v>187</v>
      </c>
      <c r="M39" s="267" t="s">
        <v>187</v>
      </c>
      <c r="N39" s="267" t="s">
        <v>44</v>
      </c>
    </row>
    <row r="40" spans="1:23" ht="9.6" customHeight="1">
      <c r="A40" s="207">
        <v>1</v>
      </c>
      <c r="B40" s="205">
        <v>2</v>
      </c>
      <c r="C40" s="205">
        <v>3</v>
      </c>
      <c r="D40" s="205">
        <v>4</v>
      </c>
      <c r="E40" s="205">
        <v>5</v>
      </c>
      <c r="F40" s="205">
        <v>6</v>
      </c>
      <c r="G40" s="268">
        <v>7</v>
      </c>
      <c r="H40" s="268">
        <v>8</v>
      </c>
      <c r="I40" s="205">
        <v>9</v>
      </c>
      <c r="J40" s="205">
        <v>10</v>
      </c>
      <c r="K40" s="268">
        <v>11</v>
      </c>
      <c r="L40" s="268">
        <v>12</v>
      </c>
      <c r="M40" s="268">
        <v>13</v>
      </c>
      <c r="N40" s="268">
        <v>14</v>
      </c>
    </row>
    <row r="41" spans="1:23">
      <c r="A41" s="568" t="s">
        <v>343</v>
      </c>
      <c r="B41" s="565">
        <f>IF('3.sadaļa'!B2="Jā",0,'3.sadaļa'!J142+'4.sadaļa'!J8+'4.sadaļa'!J19)</f>
        <v>0</v>
      </c>
      <c r="C41" s="73"/>
      <c r="D41" s="70"/>
      <c r="E41" s="70"/>
      <c r="F41" s="270">
        <f t="shared" ref="F41:F46" si="10">IFERROR(IF(D41+E41=0,0,D41+E41),0)</f>
        <v>0</v>
      </c>
      <c r="G41" s="71"/>
      <c r="H41" s="271">
        <f>IFERROR(IF(F41=0,0,VLOOKUP(C41,$Q$22:$W$56,5,FALSE)),0)</f>
        <v>0</v>
      </c>
      <c r="I41" s="271">
        <f>IFERROR(IF(F41="","",VLOOKUP(C41,$Q$22:$W$56,6,FALSE)),0)</f>
        <v>0</v>
      </c>
      <c r="J41" s="271">
        <f>IFERROR(IF(F41="","",VLOOKUP(C41,$Q$22:$W$56,7,FALSE)),0)</f>
        <v>0</v>
      </c>
      <c r="K41" s="270">
        <f>IFERROR(F41/G41*H41,0)</f>
        <v>0</v>
      </c>
      <c r="L41" s="270">
        <f>IFERROR(F41/G41*I41,0)</f>
        <v>0</v>
      </c>
      <c r="M41" s="565">
        <f>SUM(K41:L45)</f>
        <v>0</v>
      </c>
      <c r="N41" s="270">
        <f>IFERROR(IF(F41="","",F41/G41*J41),0)</f>
        <v>0</v>
      </c>
      <c r="Q41" s="346"/>
      <c r="R41" s="346"/>
    </row>
    <row r="42" spans="1:23">
      <c r="A42" s="569"/>
      <c r="B42" s="566"/>
      <c r="C42" s="73"/>
      <c r="D42" s="70"/>
      <c r="E42" s="70"/>
      <c r="F42" s="270">
        <f t="shared" si="10"/>
        <v>0</v>
      </c>
      <c r="G42" s="71"/>
      <c r="H42" s="271">
        <f>IFERROR(IF(F42=0,0,VLOOKUP(C42,$Q$22:$W$56,5,FALSE)),0)</f>
        <v>0</v>
      </c>
      <c r="I42" s="271">
        <f>IF(F42=0,0,VLOOKUP(C42,$Q$22:$W$56,6,FALSE))</f>
        <v>0</v>
      </c>
      <c r="J42" s="271">
        <f>IF(F42=0,0,VLOOKUP(C42,$Q$22:$W$56,7,FALSE))</f>
        <v>0</v>
      </c>
      <c r="K42" s="270">
        <f>IFERROR(F42/G42*H42,0)</f>
        <v>0</v>
      </c>
      <c r="L42" s="270">
        <f>IFERROR(F42/G42*I42,0)</f>
        <v>0</v>
      </c>
      <c r="M42" s="566"/>
      <c r="N42" s="270">
        <f t="shared" ref="N42" si="11">IFERROR(IF(F42="","",F42/G42*J42),0)</f>
        <v>0</v>
      </c>
      <c r="Q42" s="91">
        <v>1</v>
      </c>
      <c r="R42" s="91">
        <v>2</v>
      </c>
      <c r="S42" s="91">
        <v>3</v>
      </c>
      <c r="T42" s="91">
        <v>4</v>
      </c>
      <c r="U42" s="91">
        <v>5</v>
      </c>
      <c r="V42" s="91">
        <v>6</v>
      </c>
      <c r="W42" s="91">
        <v>7</v>
      </c>
    </row>
    <row r="43" spans="1:23">
      <c r="A43" s="569"/>
      <c r="B43" s="566"/>
      <c r="C43" s="273" t="s">
        <v>344</v>
      </c>
      <c r="D43" s="70"/>
      <c r="E43" s="70"/>
      <c r="F43" s="270">
        <f t="shared" si="10"/>
        <v>0</v>
      </c>
      <c r="G43" s="274"/>
      <c r="H43" s="271">
        <f t="shared" ref="H43:H53" si="12">IF(F43="","",VLOOKUP(C43,$Q$22:$W$56,5,FALSE))</f>
        <v>0</v>
      </c>
      <c r="I43" s="271">
        <f t="shared" ref="I43:I53" si="13">IF(F43="","",VLOOKUP(C43,$Q$22:$W$56,6,FALSE))</f>
        <v>1</v>
      </c>
      <c r="J43" s="271">
        <f t="shared" ref="J43:J53" si="14">IF(F43="","",VLOOKUP(C43,$Q$22:$W$56,7,FALSE))</f>
        <v>0</v>
      </c>
      <c r="K43" s="270">
        <f>IFERROR(F43*H43,"")</f>
        <v>0</v>
      </c>
      <c r="L43" s="270">
        <f>IFERROR(F43*I43,"")</f>
        <v>0</v>
      </c>
      <c r="M43" s="566"/>
      <c r="N43" s="270">
        <f>IFERROR(IF(F43="","",F43*J43),0)</f>
        <v>0</v>
      </c>
      <c r="Q43" s="88" t="s">
        <v>42</v>
      </c>
      <c r="R43" s="88">
        <v>11.8</v>
      </c>
      <c r="S43" s="88" t="s">
        <v>43</v>
      </c>
      <c r="T43" s="88" t="s">
        <v>44</v>
      </c>
      <c r="U43" s="91">
        <v>1.1000000000000001</v>
      </c>
      <c r="V43" s="91">
        <v>0</v>
      </c>
      <c r="W43" s="91">
        <v>0.26700000000000002</v>
      </c>
    </row>
    <row r="44" spans="1:23">
      <c r="A44" s="569"/>
      <c r="B44" s="566"/>
      <c r="C44" s="273" t="s">
        <v>71</v>
      </c>
      <c r="D44" s="70"/>
      <c r="E44" s="270">
        <f>'4.sadaļa'!J19</f>
        <v>0</v>
      </c>
      <c r="F44" s="270">
        <f t="shared" si="10"/>
        <v>0</v>
      </c>
      <c r="G44" s="274"/>
      <c r="H44" s="271">
        <f t="shared" si="12"/>
        <v>1.9</v>
      </c>
      <c r="I44" s="271">
        <f t="shared" si="13"/>
        <v>0.6</v>
      </c>
      <c r="J44" s="271">
        <f t="shared" si="14"/>
        <v>0.109</v>
      </c>
      <c r="K44" s="270">
        <f>IFERROR(F44*H44,"")</f>
        <v>0</v>
      </c>
      <c r="L44" s="270">
        <f>IFERROR(F44*I44,"")</f>
        <v>0</v>
      </c>
      <c r="M44" s="566"/>
      <c r="N44" s="270">
        <f>IFERROR(IF(F44="","",F44*J44),0)</f>
        <v>0</v>
      </c>
      <c r="O44" s="286"/>
      <c r="Q44" s="88" t="s">
        <v>45</v>
      </c>
      <c r="R44" s="88">
        <v>11.28</v>
      </c>
      <c r="S44" s="88" t="s">
        <v>43</v>
      </c>
      <c r="T44" s="88" t="s">
        <v>44</v>
      </c>
      <c r="U44" s="91">
        <v>1.1000000000000001</v>
      </c>
      <c r="V44" s="91">
        <v>0</v>
      </c>
      <c r="W44" s="91">
        <v>0.27900000000000003</v>
      </c>
    </row>
    <row r="45" spans="1:23">
      <c r="A45" s="570"/>
      <c r="B45" s="567"/>
      <c r="C45" s="273" t="s">
        <v>345</v>
      </c>
      <c r="D45" s="70"/>
      <c r="E45" s="70"/>
      <c r="F45" s="270">
        <f t="shared" si="10"/>
        <v>0</v>
      </c>
      <c r="G45" s="274"/>
      <c r="H45" s="271">
        <f t="shared" si="12"/>
        <v>0</v>
      </c>
      <c r="I45" s="271">
        <f t="shared" si="13"/>
        <v>1</v>
      </c>
      <c r="J45" s="271">
        <f t="shared" si="14"/>
        <v>0</v>
      </c>
      <c r="K45" s="270">
        <f>IFERROR(F45*H45,"")</f>
        <v>0</v>
      </c>
      <c r="L45" s="270">
        <f>IFERROR(F45*I45,"")</f>
        <v>0</v>
      </c>
      <c r="M45" s="567"/>
      <c r="N45" s="270">
        <f>IFERROR(IF(F45="","",F45*J45),0)</f>
        <v>0</v>
      </c>
      <c r="Q45" s="88" t="s">
        <v>46</v>
      </c>
      <c r="R45" s="88">
        <v>12.65</v>
      </c>
      <c r="S45" s="88" t="s">
        <v>43</v>
      </c>
      <c r="T45" s="88" t="s">
        <v>44</v>
      </c>
      <c r="U45" s="91">
        <v>1.1000000000000001</v>
      </c>
      <c r="V45" s="91">
        <v>0</v>
      </c>
      <c r="W45" s="91">
        <v>0.22700000000000001</v>
      </c>
    </row>
    <row r="46" spans="1:23" ht="14.1" customHeight="1">
      <c r="A46" s="559" t="s">
        <v>346</v>
      </c>
      <c r="B46" s="562">
        <f>'4.sadaļa'!J22+'4.sadaļa'!J31</f>
        <v>0</v>
      </c>
      <c r="C46" s="73"/>
      <c r="D46" s="70"/>
      <c r="E46" s="70"/>
      <c r="F46" s="270">
        <f t="shared" si="10"/>
        <v>0</v>
      </c>
      <c r="G46" s="71"/>
      <c r="H46" s="271">
        <f>IF(F46=0,0,VLOOKUP(C46,$Q$22:$W$56,5,FALSE))</f>
        <v>0</v>
      </c>
      <c r="I46" s="271">
        <f>IFERROR(IF(F46="","",VLOOKUP(C46,$Q$22:$W$56,6,FALSE)),0)</f>
        <v>0</v>
      </c>
      <c r="J46" s="271">
        <f>IFERROR(IF(F46="","",VLOOKUP(C46,$Q$22:$W$56,7,FALSE)),0)</f>
        <v>0</v>
      </c>
      <c r="K46" s="270">
        <f>IFERROR(F46/G46*H46,0)</f>
        <v>0</v>
      </c>
      <c r="L46" s="270">
        <f>IFERROR(F46/G46*I46,0)</f>
        <v>0</v>
      </c>
      <c r="M46" s="565">
        <f>SUM(K46:L50)</f>
        <v>0</v>
      </c>
      <c r="N46" s="270">
        <f t="shared" ref="N46:N47" si="15">IFERROR(IF(F46="","",F46/G46*J46),0)</f>
        <v>0</v>
      </c>
      <c r="Q46" s="88" t="s">
        <v>47</v>
      </c>
      <c r="R46" s="88">
        <v>9.16</v>
      </c>
      <c r="S46" s="88" t="s">
        <v>43</v>
      </c>
      <c r="T46" s="88" t="s">
        <v>44</v>
      </c>
      <c r="U46" s="91">
        <v>1.1000000000000001</v>
      </c>
      <c r="V46" s="91">
        <v>0</v>
      </c>
      <c r="W46" s="91">
        <v>0.27100000000000002</v>
      </c>
    </row>
    <row r="47" spans="1:23">
      <c r="A47" s="560"/>
      <c r="B47" s="563"/>
      <c r="C47" s="73"/>
      <c r="D47" s="70"/>
      <c r="E47" s="70"/>
      <c r="F47" s="270">
        <f t="shared" ref="F47:F50" si="16">IFERROR(IF(D47+E47=0,0,D47+E47),0)</f>
        <v>0</v>
      </c>
      <c r="G47" s="71"/>
      <c r="H47" s="271">
        <f>IFERROR(IF(F47="","",VLOOKUP(C47,$Q$22:$W$56,5,FALSE)),0)</f>
        <v>0</v>
      </c>
      <c r="I47" s="271">
        <f>IFERROR(IF(F47="","",VLOOKUP(C47,$Q$22:$W$56,6,FALSE)),0)</f>
        <v>0</v>
      </c>
      <c r="J47" s="271">
        <f>IFERROR(IF(F47="","",VLOOKUP(C47,$Q$22:$W$56,7,FALSE)),0)</f>
        <v>0</v>
      </c>
      <c r="K47" s="270">
        <f>IFERROR(F47/G47*H47,0)</f>
        <v>0</v>
      </c>
      <c r="L47" s="270">
        <f>IFERROR(F47/G47*I47,0)</f>
        <v>0</v>
      </c>
      <c r="M47" s="566"/>
      <c r="N47" s="270">
        <f t="shared" si="15"/>
        <v>0</v>
      </c>
      <c r="Q47" s="88" t="s">
        <v>61</v>
      </c>
      <c r="R47" s="88">
        <v>9.5</v>
      </c>
      <c r="S47" s="88" t="s">
        <v>62</v>
      </c>
      <c r="T47" s="88" t="s">
        <v>63</v>
      </c>
      <c r="U47" s="91">
        <v>1.1000000000000001</v>
      </c>
      <c r="V47" s="91">
        <v>0</v>
      </c>
      <c r="W47" s="91">
        <v>0.20200000000000001</v>
      </c>
    </row>
    <row r="48" spans="1:23">
      <c r="A48" s="560"/>
      <c r="B48" s="563"/>
      <c r="C48" s="273" t="s">
        <v>344</v>
      </c>
      <c r="D48" s="70"/>
      <c r="E48" s="70"/>
      <c r="F48" s="270">
        <f t="shared" si="16"/>
        <v>0</v>
      </c>
      <c r="G48" s="274"/>
      <c r="H48" s="271">
        <f t="shared" si="12"/>
        <v>0</v>
      </c>
      <c r="I48" s="271">
        <f t="shared" si="13"/>
        <v>1</v>
      </c>
      <c r="J48" s="271">
        <f t="shared" si="14"/>
        <v>0</v>
      </c>
      <c r="K48" s="270">
        <f>IFERROR(F48*H48,"")</f>
        <v>0</v>
      </c>
      <c r="L48" s="270">
        <f>IFERROR(F48*I48,"")</f>
        <v>0</v>
      </c>
      <c r="M48" s="566"/>
      <c r="N48" s="270">
        <f>IFERROR(IF(F48="","",F48*J48),0)</f>
        <v>0</v>
      </c>
      <c r="O48" s="286"/>
      <c r="Q48" s="88" t="s">
        <v>52</v>
      </c>
      <c r="R48" s="88">
        <v>2140</v>
      </c>
      <c r="S48" s="88" t="s">
        <v>53</v>
      </c>
      <c r="T48" s="88" t="s">
        <v>54</v>
      </c>
      <c r="U48" s="91">
        <v>0.2</v>
      </c>
      <c r="V48" s="91">
        <v>1</v>
      </c>
      <c r="W48" s="91">
        <v>0.04</v>
      </c>
    </row>
    <row r="49" spans="1:23">
      <c r="A49" s="560"/>
      <c r="B49" s="563"/>
      <c r="C49" s="273" t="str">
        <f>C44</f>
        <v>Elektroenerģija no tīkla</v>
      </c>
      <c r="D49" s="70"/>
      <c r="E49" s="276">
        <f>'4.sadaļa'!J22</f>
        <v>0</v>
      </c>
      <c r="F49" s="270">
        <f t="shared" si="16"/>
        <v>0</v>
      </c>
      <c r="G49" s="274"/>
      <c r="H49" s="271">
        <f t="shared" si="12"/>
        <v>1.9</v>
      </c>
      <c r="I49" s="271">
        <f t="shared" si="13"/>
        <v>0.6</v>
      </c>
      <c r="J49" s="271">
        <f t="shared" si="14"/>
        <v>0.109</v>
      </c>
      <c r="K49" s="270">
        <f>IFERROR(F49*H49,"")</f>
        <v>0</v>
      </c>
      <c r="L49" s="270">
        <f>IFERROR(F49*I49,"")</f>
        <v>0</v>
      </c>
      <c r="M49" s="566"/>
      <c r="N49" s="270">
        <f>IFERROR(IF(F49="","",F49*J49),0)</f>
        <v>0</v>
      </c>
      <c r="Q49" s="88" t="s">
        <v>55</v>
      </c>
      <c r="R49" s="88">
        <v>750</v>
      </c>
      <c r="S49" s="88" t="s">
        <v>56</v>
      </c>
      <c r="T49" s="88" t="s">
        <v>57</v>
      </c>
      <c r="U49" s="91">
        <v>0.2</v>
      </c>
      <c r="V49" s="91">
        <v>1</v>
      </c>
      <c r="W49" s="91">
        <v>0.04</v>
      </c>
    </row>
    <row r="50" spans="1:23">
      <c r="A50" s="561"/>
      <c r="B50" s="564"/>
      <c r="C50" s="273" t="s">
        <v>345</v>
      </c>
      <c r="D50" s="70"/>
      <c r="E50" s="70"/>
      <c r="F50" s="270">
        <f t="shared" si="16"/>
        <v>0</v>
      </c>
      <c r="G50" s="274"/>
      <c r="H50" s="271">
        <f t="shared" si="12"/>
        <v>0</v>
      </c>
      <c r="I50" s="271">
        <f t="shared" si="13"/>
        <v>1</v>
      </c>
      <c r="J50" s="271">
        <f t="shared" si="14"/>
        <v>0</v>
      </c>
      <c r="K50" s="270">
        <f>IFERROR(F50*H50,"")</f>
        <v>0</v>
      </c>
      <c r="L50" s="270">
        <f>IFERROR(F50*I50,"")</f>
        <v>0</v>
      </c>
      <c r="M50" s="567"/>
      <c r="N50" s="270">
        <f>IFERROR(IF(F50="","",F50*J50),0)</f>
        <v>0</v>
      </c>
      <c r="Q50" s="88" t="s">
        <v>58</v>
      </c>
      <c r="R50" s="88">
        <v>910</v>
      </c>
      <c r="S50" s="88" t="s">
        <v>56</v>
      </c>
      <c r="T50" s="88" t="s">
        <v>57</v>
      </c>
      <c r="U50" s="91">
        <v>0.2</v>
      </c>
      <c r="V50" s="91">
        <v>1</v>
      </c>
      <c r="W50" s="91">
        <v>0.04</v>
      </c>
    </row>
    <row r="51" spans="1:23" ht="14.45" customHeight="1">
      <c r="A51" s="275" t="s">
        <v>347</v>
      </c>
      <c r="B51" s="272">
        <f>IFERROR('4.sadaļa'!J40,0)</f>
        <v>0</v>
      </c>
      <c r="C51" s="273" t="s">
        <v>71</v>
      </c>
      <c r="D51" s="277"/>
      <c r="E51" s="277"/>
      <c r="F51" s="270">
        <f>B51</f>
        <v>0</v>
      </c>
      <c r="G51" s="274"/>
      <c r="H51" s="271">
        <f t="shared" si="12"/>
        <v>1.9</v>
      </c>
      <c r="I51" s="271">
        <f t="shared" si="13"/>
        <v>0.6</v>
      </c>
      <c r="J51" s="271">
        <f t="shared" si="14"/>
        <v>0.109</v>
      </c>
      <c r="K51" s="270">
        <f t="shared" ref="K51:K53" si="17">IFERROR(F51*H51,"")</f>
        <v>0</v>
      </c>
      <c r="L51" s="270">
        <f t="shared" ref="L51:L53" si="18">IFERROR(F51*I51,"")</f>
        <v>0</v>
      </c>
      <c r="M51" s="270">
        <f>IFERROR(IF(F51="","",K51+L51),0)</f>
        <v>0</v>
      </c>
      <c r="N51" s="270">
        <f t="shared" ref="N51:N53" si="19">IFERROR(IF(F51="","",F51*J51),0)</f>
        <v>0</v>
      </c>
      <c r="Q51" s="88" t="s">
        <v>59</v>
      </c>
      <c r="R51" s="88">
        <v>4.66</v>
      </c>
      <c r="S51" s="88" t="s">
        <v>43</v>
      </c>
      <c r="T51" s="88" t="s">
        <v>44</v>
      </c>
      <c r="U51" s="91">
        <v>0.2</v>
      </c>
      <c r="V51" s="91">
        <v>1</v>
      </c>
      <c r="W51" s="91">
        <v>0.04</v>
      </c>
    </row>
    <row r="52" spans="1:23" ht="14.45" customHeight="1">
      <c r="A52" s="275" t="s">
        <v>348</v>
      </c>
      <c r="B52" s="272">
        <f>IFERROR('4.sadaļa'!J50,0)</f>
        <v>0</v>
      </c>
      <c r="C52" s="273" t="s">
        <v>71</v>
      </c>
      <c r="D52" s="277"/>
      <c r="E52" s="277"/>
      <c r="F52" s="270">
        <f>B52</f>
        <v>0</v>
      </c>
      <c r="G52" s="274"/>
      <c r="H52" s="271">
        <f t="shared" si="12"/>
        <v>1.9</v>
      </c>
      <c r="I52" s="271">
        <f t="shared" si="13"/>
        <v>0.6</v>
      </c>
      <c r="J52" s="271">
        <f t="shared" si="14"/>
        <v>0.109</v>
      </c>
      <c r="K52" s="270">
        <f t="shared" si="17"/>
        <v>0</v>
      </c>
      <c r="L52" s="270">
        <f t="shared" si="18"/>
        <v>0</v>
      </c>
      <c r="M52" s="270">
        <f t="shared" ref="M52:M53" si="20">IFERROR(IF(F52="","",K52+L52),0)</f>
        <v>0</v>
      </c>
      <c r="N52" s="270">
        <f t="shared" si="19"/>
        <v>0</v>
      </c>
      <c r="Q52" s="88" t="s">
        <v>60</v>
      </c>
      <c r="R52" s="88">
        <v>4.87</v>
      </c>
      <c r="S52" s="88" t="s">
        <v>43</v>
      </c>
      <c r="T52" s="88" t="s">
        <v>44</v>
      </c>
      <c r="U52" s="91">
        <v>0.2</v>
      </c>
      <c r="V52" s="91">
        <v>1</v>
      </c>
      <c r="W52" s="91">
        <v>0.04</v>
      </c>
    </row>
    <row r="53" spans="1:23" ht="14.45" customHeight="1">
      <c r="A53" s="269" t="s">
        <v>349</v>
      </c>
      <c r="B53" s="277"/>
      <c r="C53" s="278" t="s">
        <v>71</v>
      </c>
      <c r="D53" s="277"/>
      <c r="E53" s="277"/>
      <c r="F53" s="279">
        <f>'4.sadaļa'!I60</f>
        <v>0</v>
      </c>
      <c r="G53" s="277"/>
      <c r="H53" s="271">
        <f t="shared" si="12"/>
        <v>1.9</v>
      </c>
      <c r="I53" s="271">
        <f t="shared" si="13"/>
        <v>0.6</v>
      </c>
      <c r="J53" s="271">
        <f t="shared" si="14"/>
        <v>0.109</v>
      </c>
      <c r="K53" s="270">
        <f t="shared" si="17"/>
        <v>0</v>
      </c>
      <c r="L53" s="270">
        <f t="shared" si="18"/>
        <v>0</v>
      </c>
      <c r="M53" s="270">
        <f t="shared" si="20"/>
        <v>0</v>
      </c>
      <c r="N53" s="270">
        <f t="shared" si="19"/>
        <v>0</v>
      </c>
      <c r="U53" s="91"/>
      <c r="V53" s="91"/>
      <c r="W53" s="91"/>
    </row>
    <row r="54" spans="1:23" ht="14.45" customHeight="1">
      <c r="A54" s="543" t="s">
        <v>350</v>
      </c>
      <c r="B54" s="544"/>
      <c r="C54" s="544"/>
      <c r="D54" s="544"/>
      <c r="E54" s="545"/>
      <c r="F54" s="72"/>
      <c r="G54" s="274"/>
      <c r="H54" s="271">
        <f>IFERROR(IF(F54="",0,IF(C42="",-H41,-(F41/G41*H41+F42/G42*H42)/(F41/G41+F42/G42))),0)</f>
        <v>0</v>
      </c>
      <c r="I54" s="271">
        <f>IFERROR(IF(F54="",0,IF(C42="",1-I41,1-(F41/G41*I41+F42/G42*I42)/(F41/G41+F42/G42))),"")</f>
        <v>0</v>
      </c>
      <c r="J54" s="271">
        <f>IFERROR(IF(F54="",0,IF(C42="",-J41,-(F41/G41*J41+F42/G42*J42)/(F41/G41+F42/G42))),"")</f>
        <v>0</v>
      </c>
      <c r="K54" s="270">
        <f>IFERROR(F54*H54,"")</f>
        <v>0</v>
      </c>
      <c r="L54" s="270">
        <f>IFERROR(F54*I54,"")</f>
        <v>0</v>
      </c>
      <c r="M54" s="270">
        <f>IFERROR(IF(F54="",0,K54+L54),0)</f>
        <v>0</v>
      </c>
      <c r="N54" s="270">
        <f>IFERROR(IF(F54="",0,F54*J54),0)</f>
        <v>0</v>
      </c>
      <c r="Q54" s="88" t="s">
        <v>351</v>
      </c>
      <c r="U54" s="91">
        <f>'5.sadaļa'!C36</f>
        <v>0</v>
      </c>
      <c r="V54" s="91">
        <f>'5.sadaļa'!D36</f>
        <v>0</v>
      </c>
      <c r="W54" s="91">
        <f>'5.sadaļa'!E47</f>
        <v>0</v>
      </c>
    </row>
    <row r="55" spans="1:23" ht="14.45" customHeight="1">
      <c r="A55" s="543" t="s">
        <v>352</v>
      </c>
      <c r="B55" s="544"/>
      <c r="C55" s="544"/>
      <c r="D55" s="544"/>
      <c r="E55" s="545"/>
      <c r="F55" s="72"/>
      <c r="G55" s="274"/>
      <c r="H55" s="271">
        <f>IF(F55="",0,-1.9)</f>
        <v>0</v>
      </c>
      <c r="I55" s="271">
        <f>IF(F55="",0,0.4)</f>
        <v>0</v>
      </c>
      <c r="J55" s="271">
        <f>IF(F55="",0,-0.109)</f>
        <v>0</v>
      </c>
      <c r="K55" s="270">
        <f>IFERROR(F55*H55,"")</f>
        <v>0</v>
      </c>
      <c r="L55" s="270">
        <f>IFERROR(F55*I55,"")</f>
        <v>0</v>
      </c>
      <c r="M55" s="270">
        <f>IFERROR(IF(F55="",0,K55+L55),0)</f>
        <v>0</v>
      </c>
      <c r="N55" s="270">
        <f>IFERROR(IF(F55="",0,F55*J55),0)</f>
        <v>0</v>
      </c>
    </row>
    <row r="56" spans="1:23" ht="16.350000000000001" customHeight="1">
      <c r="A56" s="280"/>
      <c r="B56" s="280"/>
      <c r="C56" s="281"/>
      <c r="D56" s="546"/>
      <c r="E56" s="546"/>
      <c r="F56" s="282"/>
      <c r="G56" s="283"/>
      <c r="H56" s="280"/>
      <c r="I56" s="280"/>
      <c r="J56" s="284" t="s">
        <v>290</v>
      </c>
      <c r="K56" s="285">
        <f>SUM(K41:K55)</f>
        <v>0</v>
      </c>
      <c r="L56" s="285">
        <f>SUM(L41:L55)</f>
        <v>0</v>
      </c>
      <c r="M56" s="285">
        <f>SUM(M41:M55)</f>
        <v>0</v>
      </c>
      <c r="N56" s="285">
        <f>SUM(N41:N55)</f>
        <v>0</v>
      </c>
    </row>
    <row r="57" spans="1:23" ht="68.45" customHeight="1">
      <c r="A57" s="571" t="s">
        <v>354</v>
      </c>
      <c r="B57" s="571"/>
      <c r="C57" s="571"/>
      <c r="D57" s="571"/>
      <c r="E57" s="571"/>
      <c r="F57" s="571"/>
      <c r="G57" s="571"/>
      <c r="H57" s="571"/>
      <c r="I57" s="571"/>
      <c r="J57" s="571"/>
      <c r="K57" s="571"/>
      <c r="L57" s="571"/>
      <c r="M57" s="571"/>
      <c r="N57" s="571"/>
      <c r="Q57" s="286">
        <f>SUM(F41:F45)-E44-B41</f>
        <v>0</v>
      </c>
    </row>
    <row r="58" spans="1:23">
      <c r="L58" s="287"/>
    </row>
    <row r="80" spans="17:23">
      <c r="Q80" s="88" t="s">
        <v>42</v>
      </c>
      <c r="R80" s="88">
        <v>11.8</v>
      </c>
      <c r="S80" s="88" t="s">
        <v>43</v>
      </c>
      <c r="T80" s="88" t="s">
        <v>44</v>
      </c>
      <c r="U80" s="88">
        <v>1.1000000000000001</v>
      </c>
      <c r="V80" s="88">
        <v>0</v>
      </c>
      <c r="W80" s="88">
        <v>0.26700000000000002</v>
      </c>
    </row>
    <row r="81" spans="17:23">
      <c r="Q81" s="88" t="s">
        <v>45</v>
      </c>
      <c r="R81" s="88">
        <v>11.28</v>
      </c>
      <c r="S81" s="88" t="s">
        <v>43</v>
      </c>
      <c r="T81" s="88" t="s">
        <v>44</v>
      </c>
      <c r="U81" s="88">
        <v>1.1000000000000001</v>
      </c>
      <c r="V81" s="88">
        <v>0</v>
      </c>
      <c r="W81" s="88">
        <v>0.27900000000000003</v>
      </c>
    </row>
    <row r="82" spans="17:23">
      <c r="Q82" s="88" t="s">
        <v>46</v>
      </c>
      <c r="R82" s="88">
        <v>12.65</v>
      </c>
      <c r="S82" s="88" t="s">
        <v>43</v>
      </c>
      <c r="T82" s="88" t="s">
        <v>44</v>
      </c>
      <c r="U82" s="88">
        <v>1.1000000000000001</v>
      </c>
      <c r="V82" s="88">
        <v>0</v>
      </c>
      <c r="W82" s="88">
        <v>0.22700000000000001</v>
      </c>
    </row>
    <row r="83" spans="17:23">
      <c r="Q83" s="88" t="s">
        <v>47</v>
      </c>
      <c r="R83" s="88">
        <v>9.16</v>
      </c>
      <c r="S83" s="88" t="s">
        <v>43</v>
      </c>
      <c r="T83" s="88" t="s">
        <v>44</v>
      </c>
      <c r="U83" s="88">
        <v>1.1000000000000001</v>
      </c>
      <c r="V83" s="88">
        <v>0</v>
      </c>
      <c r="W83" s="88">
        <v>2.7099999999999999E-2</v>
      </c>
    </row>
    <row r="84" spans="17:23">
      <c r="Q84" s="88" t="s">
        <v>48</v>
      </c>
      <c r="R84" s="88">
        <v>6.7</v>
      </c>
      <c r="S84" s="88" t="s">
        <v>43</v>
      </c>
      <c r="T84" s="88" t="s">
        <v>44</v>
      </c>
      <c r="U84" s="88">
        <v>1.1000000000000001</v>
      </c>
      <c r="V84" s="88">
        <v>0</v>
      </c>
      <c r="W84" s="88">
        <v>0.35399999999999998</v>
      </c>
    </row>
    <row r="85" spans="17:23">
      <c r="Q85" s="88" t="s">
        <v>49</v>
      </c>
      <c r="R85" s="88">
        <v>2.79</v>
      </c>
      <c r="S85" s="88" t="s">
        <v>43</v>
      </c>
      <c r="T85" s="88" t="s">
        <v>44</v>
      </c>
      <c r="U85" s="88">
        <v>1.1000000000000001</v>
      </c>
      <c r="V85" s="88">
        <v>0</v>
      </c>
      <c r="W85" s="88">
        <v>0.29399999999999998</v>
      </c>
    </row>
    <row r="86" spans="17:23">
      <c r="Q86" s="88" t="s">
        <v>61</v>
      </c>
      <c r="R86" s="88">
        <v>9.5</v>
      </c>
      <c r="S86" s="88" t="s">
        <v>62</v>
      </c>
      <c r="T86" s="88" t="s">
        <v>63</v>
      </c>
      <c r="U86" s="88">
        <v>1.1000000000000001</v>
      </c>
      <c r="V86" s="88">
        <v>0</v>
      </c>
      <c r="W86" s="88">
        <v>0.20200000000000001</v>
      </c>
    </row>
    <row r="87" spans="17:23">
      <c r="Q87" s="88" t="s">
        <v>52</v>
      </c>
      <c r="R87" s="88">
        <v>2140</v>
      </c>
      <c r="S87" s="88" t="s">
        <v>53</v>
      </c>
      <c r="T87" s="88" t="s">
        <v>54</v>
      </c>
      <c r="U87" s="88">
        <v>0.2</v>
      </c>
      <c r="V87" s="88">
        <v>1</v>
      </c>
      <c r="W87" s="88">
        <v>0.04</v>
      </c>
    </row>
    <row r="88" spans="17:23">
      <c r="Q88" s="88" t="s">
        <v>55</v>
      </c>
      <c r="R88" s="88">
        <v>750</v>
      </c>
      <c r="S88" s="88" t="s">
        <v>56</v>
      </c>
      <c r="T88" s="88" t="s">
        <v>57</v>
      </c>
      <c r="U88" s="88">
        <v>0.2</v>
      </c>
      <c r="V88" s="88">
        <v>1</v>
      </c>
      <c r="W88" s="88">
        <v>0.04</v>
      </c>
    </row>
    <row r="89" spans="17:23">
      <c r="Q89" s="88" t="s">
        <v>58</v>
      </c>
      <c r="R89" s="88">
        <v>910</v>
      </c>
      <c r="S89" s="88" t="s">
        <v>56</v>
      </c>
      <c r="T89" s="88" t="s">
        <v>57</v>
      </c>
      <c r="U89" s="88">
        <v>0.2</v>
      </c>
      <c r="V89" s="88">
        <v>1</v>
      </c>
      <c r="W89" s="88">
        <v>0.04</v>
      </c>
    </row>
    <row r="90" spans="17:23">
      <c r="Q90" s="88" t="s">
        <v>59</v>
      </c>
      <c r="R90" s="88">
        <v>4.66</v>
      </c>
      <c r="S90" s="88" t="s">
        <v>43</v>
      </c>
      <c r="T90" s="88" t="s">
        <v>44</v>
      </c>
      <c r="U90" s="88">
        <v>0.2</v>
      </c>
      <c r="V90" s="88">
        <v>1</v>
      </c>
      <c r="W90" s="88">
        <v>0.04</v>
      </c>
    </row>
    <row r="91" spans="17:23">
      <c r="Q91" s="88" t="s">
        <v>60</v>
      </c>
      <c r="R91" s="88">
        <v>4.87</v>
      </c>
      <c r="S91" s="88" t="s">
        <v>43</v>
      </c>
      <c r="T91" s="88" t="s">
        <v>44</v>
      </c>
      <c r="U91" s="88">
        <v>0.2</v>
      </c>
      <c r="V91" s="88">
        <v>1</v>
      </c>
      <c r="W91" s="88">
        <v>0.04</v>
      </c>
    </row>
    <row r="93" spans="17:23">
      <c r="Q93" s="88" t="s">
        <v>64</v>
      </c>
      <c r="R93" s="88">
        <v>10.33</v>
      </c>
      <c r="S93" s="88" t="s">
        <v>43</v>
      </c>
      <c r="T93" s="88" t="s">
        <v>44</v>
      </c>
      <c r="U93" s="88">
        <v>0.5</v>
      </c>
      <c r="V93" s="88">
        <v>1</v>
      </c>
      <c r="W93" s="88">
        <v>7.0000000000000007E-2</v>
      </c>
    </row>
    <row r="94" spans="17:23">
      <c r="Q94" s="88" t="s">
        <v>66</v>
      </c>
      <c r="R94" s="88">
        <v>7.44</v>
      </c>
      <c r="S94" s="88" t="s">
        <v>43</v>
      </c>
      <c r="T94" s="88" t="s">
        <v>44</v>
      </c>
      <c r="U94" s="88">
        <v>0.1</v>
      </c>
      <c r="V94" s="88">
        <v>1</v>
      </c>
      <c r="W94" s="88">
        <v>0.1</v>
      </c>
    </row>
    <row r="95" spans="17:23">
      <c r="Q95" s="88" t="s">
        <v>71</v>
      </c>
      <c r="U95" s="88">
        <v>1.9</v>
      </c>
      <c r="V95" s="88">
        <v>0.6</v>
      </c>
      <c r="W95" s="88">
        <v>0.109</v>
      </c>
    </row>
    <row r="96" spans="17:23">
      <c r="Q96" s="88" t="s">
        <v>69</v>
      </c>
      <c r="U96" s="88">
        <v>0</v>
      </c>
      <c r="V96" s="88">
        <v>1</v>
      </c>
      <c r="W96" s="88">
        <v>0</v>
      </c>
    </row>
    <row r="97" spans="17:23">
      <c r="Q97" s="88" t="s">
        <v>355</v>
      </c>
      <c r="U97" s="88">
        <v>0</v>
      </c>
      <c r="V97" s="88">
        <v>1</v>
      </c>
      <c r="W97" s="88">
        <v>0</v>
      </c>
    </row>
    <row r="99" spans="17:23">
      <c r="Q99" s="88" t="s">
        <v>46</v>
      </c>
      <c r="R99" s="88">
        <v>12.65</v>
      </c>
      <c r="S99" s="88" t="s">
        <v>43</v>
      </c>
      <c r="T99" s="88" t="s">
        <v>44</v>
      </c>
      <c r="U99" s="88">
        <v>1.1000000000000001</v>
      </c>
      <c r="V99" s="88">
        <v>0</v>
      </c>
      <c r="W99" s="88">
        <v>0.22700000000000001</v>
      </c>
    </row>
    <row r="100" spans="17:23">
      <c r="Q100" s="88" t="s">
        <v>345</v>
      </c>
      <c r="U100" s="88">
        <v>0</v>
      </c>
      <c r="V100" s="88">
        <v>1</v>
      </c>
      <c r="W100" s="88">
        <v>0</v>
      </c>
    </row>
  </sheetData>
  <sheetProtection algorithmName="SHA-512" hashValue="vHkAfSaUVsmyga3FBWKOtSdm79kxJQIhBUfv6TQOhPovjUZ0SK7jDPOhbT6KYlChfcpnEGAeMZsAFjPP0yH+qw==" saltValue="xTQ3es+HT4a9652HTDlJtA==" spinCount="100000" sheet="1" objects="1" scenarios="1"/>
  <mergeCells count="65">
    <mergeCell ref="K13:L13"/>
    <mergeCell ref="K8:L8"/>
    <mergeCell ref="K9:L9"/>
    <mergeCell ref="K10:L10"/>
    <mergeCell ref="K11:L11"/>
    <mergeCell ref="M3:N3"/>
    <mergeCell ref="B7:L7"/>
    <mergeCell ref="K4:L4"/>
    <mergeCell ref="K5:L5"/>
    <mergeCell ref="K12:L12"/>
    <mergeCell ref="M10:N10"/>
    <mergeCell ref="M11:N11"/>
    <mergeCell ref="M9:N9"/>
    <mergeCell ref="M12:N12"/>
    <mergeCell ref="B3:J3"/>
    <mergeCell ref="B13:J13"/>
    <mergeCell ref="D16:F16"/>
    <mergeCell ref="G16:G18"/>
    <mergeCell ref="H16:H18"/>
    <mergeCell ref="I16:I18"/>
    <mergeCell ref="A57:N57"/>
    <mergeCell ref="A34:E34"/>
    <mergeCell ref="J16:J17"/>
    <mergeCell ref="K16:N16"/>
    <mergeCell ref="A20:A24"/>
    <mergeCell ref="B20:B24"/>
    <mergeCell ref="M20:M24"/>
    <mergeCell ref="D35:E35"/>
    <mergeCell ref="A36:N36"/>
    <mergeCell ref="A37:A39"/>
    <mergeCell ref="B37:B38"/>
    <mergeCell ref="C37:C39"/>
    <mergeCell ref="K37:N37"/>
    <mergeCell ref="D37:F37"/>
    <mergeCell ref="G37:G39"/>
    <mergeCell ref="H37:H39"/>
    <mergeCell ref="Q20:R20"/>
    <mergeCell ref="A25:A29"/>
    <mergeCell ref="B25:B29"/>
    <mergeCell ref="M25:M29"/>
    <mergeCell ref="A33:E33"/>
    <mergeCell ref="Q41:R41"/>
    <mergeCell ref="A46:A50"/>
    <mergeCell ref="B46:B50"/>
    <mergeCell ref="M46:M50"/>
    <mergeCell ref="A54:E54"/>
    <mergeCell ref="A41:A45"/>
    <mergeCell ref="B41:B45"/>
    <mergeCell ref="M41:M45"/>
    <mergeCell ref="A1:N1"/>
    <mergeCell ref="A55:E55"/>
    <mergeCell ref="D56:E56"/>
    <mergeCell ref="B4:J4"/>
    <mergeCell ref="B5:J5"/>
    <mergeCell ref="B8:J8"/>
    <mergeCell ref="B9:J9"/>
    <mergeCell ref="B10:J10"/>
    <mergeCell ref="B11:J11"/>
    <mergeCell ref="B12:J12"/>
    <mergeCell ref="J37:J38"/>
    <mergeCell ref="A15:N15"/>
    <mergeCell ref="A16:A18"/>
    <mergeCell ref="B16:B17"/>
    <mergeCell ref="C16:C18"/>
    <mergeCell ref="I37:I39"/>
  </mergeCells>
  <phoneticPr fontId="28" type="noConversion"/>
  <conditionalFormatting sqref="B25:B29">
    <cfRule type="expression" dxfId="31" priority="2">
      <formula>$B$25-$F$25-$F$26-$F$27-$F$28-$F$29&lt;-100</formula>
    </cfRule>
    <cfRule type="expression" dxfId="30" priority="34">
      <formula>$B$25-$F$25-$F$26-$F$27-$F$28-$F$29&gt;100</formula>
    </cfRule>
  </conditionalFormatting>
  <conditionalFormatting sqref="B41:B45">
    <cfRule type="expression" dxfId="29" priority="1">
      <formula>$B$41=0</formula>
    </cfRule>
    <cfRule type="expression" dxfId="28" priority="3">
      <formula>$B$41-$F$41-$F$42-$F$43-$F$44-$F$45&lt;-100</formula>
    </cfRule>
    <cfRule type="expression" dxfId="27" priority="4">
      <formula>$B$41-$F$41-$F$42-$F$43-$F$44-$F$45&gt;100</formula>
    </cfRule>
  </conditionalFormatting>
  <conditionalFormatting sqref="B46:B50">
    <cfRule type="expression" dxfId="26" priority="24">
      <formula>$B$46-$F$46-$F$47-$F$48-$F$49-$F$50&gt;100</formula>
    </cfRule>
    <cfRule type="expression" dxfId="25" priority="25">
      <formula>$B$46-$F$46-$F$47-$F$48-$F$49-$F$50&lt;-100</formula>
    </cfRule>
  </conditionalFormatting>
  <conditionalFormatting sqref="D25:E29">
    <cfRule type="expression" dxfId="24" priority="40">
      <formula>D25=""</formula>
    </cfRule>
  </conditionalFormatting>
  <conditionalFormatting sqref="E20:E22 D20:D24 E24">
    <cfRule type="expression" dxfId="23" priority="41">
      <formula>D20=""</formula>
    </cfRule>
  </conditionalFormatting>
  <conditionalFormatting sqref="E41:E43 D41:D50 E45:E48 E50">
    <cfRule type="expression" dxfId="22" priority="30">
      <formula>D41=""</formula>
    </cfRule>
  </conditionalFormatting>
  <conditionalFormatting sqref="F33:F34">
    <cfRule type="expression" dxfId="21" priority="35">
      <formula>F33=""</formula>
    </cfRule>
  </conditionalFormatting>
  <conditionalFormatting sqref="F54:F55">
    <cfRule type="expression" dxfId="20" priority="23">
      <formula>F54=""</formula>
    </cfRule>
  </conditionalFormatting>
  <conditionalFormatting sqref="G20:G21">
    <cfRule type="expression" dxfId="19" priority="39">
      <formula>G20=""</formula>
    </cfRule>
  </conditionalFormatting>
  <conditionalFormatting sqref="G25:G26">
    <cfRule type="expression" dxfId="18" priority="36">
      <formula>G25=""</formula>
    </cfRule>
  </conditionalFormatting>
  <conditionalFormatting sqref="G41:G42">
    <cfRule type="expression" dxfId="17" priority="29">
      <formula>G41=""</formula>
    </cfRule>
  </conditionalFormatting>
  <conditionalFormatting sqref="G46:G47">
    <cfRule type="expression" dxfId="16" priority="27">
      <formula>G46=""</formula>
    </cfRule>
  </conditionalFormatting>
  <conditionalFormatting sqref="K3">
    <cfRule type="expression" dxfId="15" priority="20">
      <formula>$K$3&gt;10%</formula>
    </cfRule>
  </conditionalFormatting>
  <conditionalFormatting sqref="K8:L9">
    <cfRule type="expression" dxfId="14" priority="22">
      <formula>K8=""</formula>
    </cfRule>
  </conditionalFormatting>
  <conditionalFormatting sqref="K10:L10">
    <cfRule type="expression" dxfId="13" priority="6">
      <formula>$K$10&gt;$Q$11</formula>
    </cfRule>
  </conditionalFormatting>
  <conditionalFormatting sqref="K12:L12">
    <cfRule type="expression" dxfId="12" priority="5">
      <formula>$K$12&gt;$Q$13</formula>
    </cfRule>
  </conditionalFormatting>
  <conditionalFormatting sqref="L3">
    <cfRule type="expression" dxfId="11" priority="19">
      <formula>$L$3&gt;10</formula>
    </cfRule>
  </conditionalFormatting>
  <conditionalFormatting sqref="M3:N3">
    <cfRule type="expression" dxfId="10" priority="31">
      <formula>$Q$3=0</formula>
    </cfRule>
    <cfRule type="expression" dxfId="9" priority="32">
      <formula>$Q$3=1</formula>
    </cfRule>
  </conditionalFormatting>
  <conditionalFormatting sqref="M10:N10">
    <cfRule type="expression" dxfId="8" priority="8">
      <formula>$K$10&gt;$Q$11</formula>
    </cfRule>
  </conditionalFormatting>
  <conditionalFormatting sqref="M12:N12">
    <cfRule type="expression" dxfId="7" priority="7">
      <formula>$K$12&gt;$Q$13</formula>
    </cfRule>
  </conditionalFormatting>
  <conditionalFormatting sqref="O5:O6">
    <cfRule type="expression" dxfId="6" priority="33">
      <formula>$M$3="NAV pieņemams"</formula>
    </cfRule>
  </conditionalFormatting>
  <dataValidations count="1">
    <dataValidation type="list" allowBlank="1" showInputMessage="1" showErrorMessage="1" sqref="C20:C21 C25:C26 C41:C42 C46:C47" xr:uid="{124BED61-6A4A-4E17-9714-F5B028DF5D6A}">
      <formula1>$Q$22:$Q$56</formula1>
    </dataValidation>
  </dataValidations>
  <printOptions horizontalCentered="1" verticalCentered="1"/>
  <pageMargins left="3.937007874015748E-2" right="3.937007874015748E-2" top="0.15748031496062992" bottom="0.15748031496062992" header="0.31496062992125984" footer="0.31496062992125984"/>
  <pageSetup orientation="landscape" r:id="rId1"/>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6829-6679-4FEA-A56D-F84A15FE94EB}">
  <sheetPr>
    <tabColor theme="5" tint="0.59999389629810485"/>
  </sheetPr>
  <dimension ref="A1:J7"/>
  <sheetViews>
    <sheetView workbookViewId="0">
      <selection activeCell="C14" sqref="C14"/>
    </sheetView>
  </sheetViews>
  <sheetFormatPr defaultColWidth="0" defaultRowHeight="15.6"/>
  <cols>
    <col min="1" max="1" width="10" style="288" customWidth="1"/>
    <col min="2" max="2" width="100.140625" style="288" customWidth="1"/>
    <col min="3" max="3" width="22.85546875" style="288" customWidth="1"/>
    <col min="4" max="4" width="13.42578125" style="288" customWidth="1"/>
    <col min="5" max="5" width="12.140625" style="290" customWidth="1"/>
    <col min="6" max="6" width="10" style="288" hidden="1" customWidth="1"/>
    <col min="7" max="10" width="0" style="288" hidden="1" customWidth="1"/>
    <col min="11" max="16384" width="10" style="288" hidden="1"/>
  </cols>
  <sheetData>
    <row r="1" spans="1:5">
      <c r="B1" s="289"/>
    </row>
    <row r="2" spans="1:5">
      <c r="B2" s="291" t="s">
        <v>356</v>
      </c>
      <c r="C2" s="74"/>
      <c r="D2" s="292" t="s">
        <v>357</v>
      </c>
    </row>
    <row r="3" spans="1:5">
      <c r="A3" s="293" t="s">
        <v>358</v>
      </c>
    </row>
    <row r="4" spans="1:5">
      <c r="A4" s="294" t="s">
        <v>234</v>
      </c>
      <c r="B4" s="294" t="s">
        <v>359</v>
      </c>
      <c r="C4" s="294" t="s">
        <v>360</v>
      </c>
      <c r="D4" s="294" t="s">
        <v>361</v>
      </c>
    </row>
    <row r="5" spans="1:5">
      <c r="A5" s="295" t="s">
        <v>362</v>
      </c>
      <c r="B5" s="296" t="s">
        <v>363</v>
      </c>
      <c r="C5" s="297" t="s">
        <v>224</v>
      </c>
      <c r="D5" s="298">
        <f>IFERROR((1-'6.sadaļa'!M56/'6.sadaļa'!M35)*100,0)</f>
        <v>0</v>
      </c>
      <c r="E5" s="299" t="s">
        <v>364</v>
      </c>
    </row>
    <row r="6" spans="1:5">
      <c r="A6" s="295" t="s">
        <v>365</v>
      </c>
      <c r="B6" s="296" t="s">
        <v>366</v>
      </c>
      <c r="C6" s="297" t="s">
        <v>367</v>
      </c>
      <c r="D6" s="300">
        <f>IFERROR(C2/('6.sadaļa'!M35-'6.sadaļa'!M56),0)</f>
        <v>0</v>
      </c>
      <c r="E6" s="299" t="s">
        <v>364</v>
      </c>
    </row>
    <row r="7" spans="1:5" ht="18.600000000000001">
      <c r="A7" s="295" t="s">
        <v>368</v>
      </c>
      <c r="B7" s="296" t="s">
        <v>369</v>
      </c>
      <c r="C7" s="297" t="s">
        <v>370</v>
      </c>
      <c r="D7" s="245">
        <f>IFERROR('6.sadaļa'!M35/'1.sadaļa'!E5,0)</f>
        <v>0</v>
      </c>
      <c r="E7" s="299" t="s">
        <v>364</v>
      </c>
    </row>
  </sheetData>
  <sheetProtection algorithmName="SHA-512" hashValue="I+rCKV+7Qlolh7A9UDbn3ckBYume86/1KYzU9YNX50JpvRmsZJwrI9zsrC7qGI3rBuMTWFTHZQPeIVGpkHkdaQ==" saltValue="+RKBzEYvpMndRY7buXU6QA==" spinCount="100000" sheet="1" objects="1" scenarios="1"/>
  <conditionalFormatting sqref="D5">
    <cfRule type="expression" dxfId="5" priority="6">
      <formula>$D$5&lt;30</formula>
    </cfRule>
  </conditionalFormatting>
  <conditionalFormatting sqref="D6">
    <cfRule type="expression" dxfId="4" priority="4">
      <formula>$D$6&gt;12.5</formula>
    </cfRule>
  </conditionalFormatting>
  <conditionalFormatting sqref="D7">
    <cfRule type="expression" dxfId="3" priority="2">
      <formula>$D$7&lt;120</formula>
    </cfRule>
  </conditionalFormatting>
  <conditionalFormatting sqref="E5">
    <cfRule type="expression" dxfId="2" priority="5">
      <formula>$D$5&lt;30</formula>
    </cfRule>
  </conditionalFormatting>
  <conditionalFormatting sqref="E6">
    <cfRule type="expression" dxfId="1" priority="3">
      <formula>$D$6&gt;12.5</formula>
    </cfRule>
  </conditionalFormatting>
  <conditionalFormatting sqref="E7">
    <cfRule type="expression" dxfId="0" priority="1">
      <formula>$D$7&lt;120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52"/>
  <sheetViews>
    <sheetView workbookViewId="0">
      <selection activeCell="A6" sqref="A6:XFD7"/>
    </sheetView>
  </sheetViews>
  <sheetFormatPr defaultRowHeight="14.45"/>
  <cols>
    <col min="1" max="1" width="33" customWidth="1"/>
    <col min="14" max="14" width="9.5703125" bestFit="1" customWidth="1"/>
  </cols>
  <sheetData>
    <row r="2" spans="1:16">
      <c r="A2" s="14"/>
      <c r="B2" s="591" t="s">
        <v>371</v>
      </c>
      <c r="C2" s="591"/>
      <c r="D2" s="591"/>
      <c r="E2" s="591"/>
      <c r="F2" s="592" t="e">
        <f>#REF!</f>
        <v>#REF!</v>
      </c>
      <c r="G2" s="593"/>
      <c r="H2" s="594"/>
      <c r="I2" s="15"/>
      <c r="J2" s="15"/>
      <c r="K2" s="15"/>
      <c r="L2" s="15"/>
      <c r="M2" s="15"/>
      <c r="N2" s="15"/>
    </row>
    <row r="3" spans="1:16">
      <c r="A3" s="15"/>
      <c r="B3" s="15"/>
      <c r="C3" s="15"/>
      <c r="D3" s="15"/>
      <c r="E3" s="15"/>
      <c r="F3" s="15"/>
      <c r="G3" s="15"/>
      <c r="H3" s="15"/>
      <c r="I3" s="15"/>
      <c r="J3" s="15"/>
      <c r="K3" s="15"/>
      <c r="L3" s="15"/>
      <c r="M3" s="15"/>
      <c r="N3" s="15"/>
    </row>
    <row r="4" spans="1:16" ht="27.95">
      <c r="A4" s="26" t="s">
        <v>372</v>
      </c>
      <c r="B4" s="27" t="s">
        <v>12</v>
      </c>
      <c r="C4" s="27" t="s">
        <v>13</v>
      </c>
      <c r="D4" s="27" t="s">
        <v>14</v>
      </c>
      <c r="E4" s="27" t="s">
        <v>15</v>
      </c>
      <c r="F4" s="27" t="s">
        <v>16</v>
      </c>
      <c r="G4" s="27" t="s">
        <v>17</v>
      </c>
      <c r="H4" s="27" t="s">
        <v>18</v>
      </c>
      <c r="I4" s="27" t="s">
        <v>19</v>
      </c>
      <c r="J4" s="27" t="s">
        <v>20</v>
      </c>
      <c r="K4" s="27" t="s">
        <v>21</v>
      </c>
      <c r="L4" s="27" t="s">
        <v>22</v>
      </c>
      <c r="M4" s="27" t="s">
        <v>23</v>
      </c>
      <c r="N4" s="28" t="s">
        <v>373</v>
      </c>
    </row>
    <row r="5" spans="1:16" ht="16.5">
      <c r="A5" s="26" t="s">
        <v>374</v>
      </c>
      <c r="B5" s="29" t="e">
        <f>VLOOKUP($F$2,$A$26:$M$47,2,FALSE)</f>
        <v>#REF!</v>
      </c>
      <c r="C5" s="29" t="e">
        <f>VLOOKUP($F$2,$A$26:$M$47,3,FALSE)</f>
        <v>#REF!</v>
      </c>
      <c r="D5" s="29" t="e">
        <f>VLOOKUP($F$2,$A$26:$M$47,4,FALSE)</f>
        <v>#REF!</v>
      </c>
      <c r="E5" s="29" t="e">
        <f>VLOOKUP($F$2,$A$26:$M$47,5,FALSE)</f>
        <v>#REF!</v>
      </c>
      <c r="F5" s="29" t="e">
        <f>VLOOKUP($F$2,$A$26:$M$47,6,FALSE)</f>
        <v>#REF!</v>
      </c>
      <c r="G5" s="29" t="e">
        <f>VLOOKUP($F$2,$A$26:$M$47,7,FALSE)</f>
        <v>#REF!</v>
      </c>
      <c r="H5" s="29" t="e">
        <f>VLOOKUP($F$2,$A$26:$M$47,8,FALSE)</f>
        <v>#REF!</v>
      </c>
      <c r="I5" s="29" t="e">
        <f>VLOOKUP($F$2,$A$26:$M$47,9,FALSE)</f>
        <v>#REF!</v>
      </c>
      <c r="J5" s="29" t="e">
        <f>VLOOKUP($F$2,$A$26:$M$47,10,FALSE)</f>
        <v>#REF!</v>
      </c>
      <c r="K5" s="29" t="e">
        <f>VLOOKUP($F$2,$A$26:$M$47,11,FALSE)</f>
        <v>#REF!</v>
      </c>
      <c r="L5" s="29" t="e">
        <f>VLOOKUP($F$2,$A$26:$M$47,12,FALSE)</f>
        <v>#REF!</v>
      </c>
      <c r="M5" s="29" t="e">
        <f>VLOOKUP($F$2,$A$26:$M$47,13,FALSE)</f>
        <v>#REF!</v>
      </c>
      <c r="N5" s="30" t="e">
        <f>SUM(B5:M5)</f>
        <v>#REF!</v>
      </c>
    </row>
    <row r="6" spans="1:16" ht="15.95" hidden="1">
      <c r="A6" s="16" t="s">
        <v>375</v>
      </c>
      <c r="B6" s="17"/>
      <c r="C6" s="18"/>
      <c r="D6" s="18"/>
      <c r="E6" s="18"/>
      <c r="F6" s="18"/>
      <c r="G6" s="18"/>
      <c r="H6" s="18"/>
      <c r="I6" s="18"/>
      <c r="J6" s="18"/>
      <c r="K6" s="18"/>
      <c r="L6" s="18"/>
      <c r="M6" s="18"/>
      <c r="N6" s="19" t="e">
        <f>SUMPRODUCT($T$59:$AE$59,B6:M6)/$AF$59</f>
        <v>#DIV/0!</v>
      </c>
    </row>
    <row r="7" spans="1:16" ht="15" hidden="1" thickBot="1">
      <c r="A7" s="20" t="s">
        <v>376</v>
      </c>
      <c r="B7" s="21"/>
      <c r="C7" s="22"/>
      <c r="D7" s="22"/>
      <c r="E7" s="22"/>
      <c r="F7" s="22"/>
      <c r="G7" s="22"/>
      <c r="H7" s="22"/>
      <c r="I7" s="22"/>
      <c r="J7" s="22"/>
      <c r="K7" s="22"/>
      <c r="L7" s="22"/>
      <c r="M7" s="22"/>
      <c r="N7" s="23" t="e">
        <f>SUMPRODUCT($T$59:$AE$59,B7:M7)/$AF$59</f>
        <v>#DIV/0!</v>
      </c>
    </row>
    <row r="8" spans="1:16">
      <c r="A8" s="24"/>
      <c r="B8" s="6"/>
      <c r="C8" s="6"/>
      <c r="D8" s="6"/>
      <c r="E8" s="6"/>
      <c r="F8" s="6"/>
      <c r="G8" s="6"/>
      <c r="H8" s="6"/>
      <c r="I8" s="6"/>
      <c r="J8" s="6"/>
      <c r="K8" s="6"/>
      <c r="L8" s="6"/>
      <c r="M8" s="6"/>
      <c r="N8" s="6"/>
    </row>
    <row r="9" spans="1:16" ht="15" thickBot="1">
      <c r="A9" s="6"/>
      <c r="B9" s="595" t="s">
        <v>377</v>
      </c>
      <c r="C9" s="595"/>
      <c r="D9" s="595"/>
      <c r="E9" s="595"/>
      <c r="F9" s="595"/>
      <c r="G9" s="595"/>
      <c r="H9" s="595"/>
      <c r="I9" s="595"/>
      <c r="J9" s="595"/>
      <c r="K9" s="595"/>
      <c r="L9" s="595"/>
      <c r="M9" s="595"/>
      <c r="N9" s="595"/>
    </row>
    <row r="10" spans="1:16" ht="15" thickTop="1">
      <c r="A10" s="7" t="s">
        <v>372</v>
      </c>
      <c r="B10" s="32" t="str">
        <f t="shared" ref="B10:M10" si="0">B4</f>
        <v>janv</v>
      </c>
      <c r="C10" s="32" t="str">
        <f t="shared" si="0"/>
        <v>febr</v>
      </c>
      <c r="D10" s="32" t="str">
        <f t="shared" si="0"/>
        <v>marts</v>
      </c>
      <c r="E10" s="32" t="str">
        <f t="shared" si="0"/>
        <v>apr</v>
      </c>
      <c r="F10" s="32" t="str">
        <f t="shared" si="0"/>
        <v>maijs</v>
      </c>
      <c r="G10" s="32" t="str">
        <f t="shared" si="0"/>
        <v>jūn</v>
      </c>
      <c r="H10" s="32" t="str">
        <f t="shared" si="0"/>
        <v>jūl</v>
      </c>
      <c r="I10" s="32" t="str">
        <f t="shared" si="0"/>
        <v>aug</v>
      </c>
      <c r="J10" s="32" t="str">
        <f t="shared" si="0"/>
        <v>sept</v>
      </c>
      <c r="K10" s="32" t="str">
        <f t="shared" si="0"/>
        <v>okt</v>
      </c>
      <c r="L10" s="32" t="str">
        <f t="shared" si="0"/>
        <v>nov</v>
      </c>
      <c r="M10" s="32" t="str">
        <f t="shared" si="0"/>
        <v>dec</v>
      </c>
      <c r="N10" s="32" t="s">
        <v>378</v>
      </c>
    </row>
    <row r="11" spans="1:16">
      <c r="A11" s="31" t="s">
        <v>379</v>
      </c>
      <c r="B11" s="35" t="str">
        <f>IFERROR($N$11*B50,"")</f>
        <v/>
      </c>
      <c r="C11" s="36" t="str">
        <f t="shared" ref="C11:M11" si="1">IFERROR($N$11*C50,"")</f>
        <v/>
      </c>
      <c r="D11" s="36" t="str">
        <f t="shared" si="1"/>
        <v/>
      </c>
      <c r="E11" s="36" t="str">
        <f t="shared" si="1"/>
        <v/>
      </c>
      <c r="F11" s="36" t="str">
        <f t="shared" si="1"/>
        <v/>
      </c>
      <c r="G11" s="36" t="str">
        <f t="shared" si="1"/>
        <v/>
      </c>
      <c r="H11" s="36" t="str">
        <f t="shared" si="1"/>
        <v/>
      </c>
      <c r="I11" s="36" t="str">
        <f t="shared" si="1"/>
        <v/>
      </c>
      <c r="J11" s="36" t="str">
        <f t="shared" si="1"/>
        <v/>
      </c>
      <c r="K11" s="36" t="str">
        <f t="shared" si="1"/>
        <v/>
      </c>
      <c r="L11" s="36" t="str">
        <f t="shared" si="1"/>
        <v/>
      </c>
      <c r="M11" s="36" t="str">
        <f t="shared" si="1"/>
        <v/>
      </c>
      <c r="N11" s="41" t="e">
        <f>#REF!</f>
        <v>#REF!</v>
      </c>
      <c r="P11" s="25">
        <f t="shared" ref="P11:P13" si="2">SUM(B11:M11)</f>
        <v>0</v>
      </c>
    </row>
    <row r="12" spans="1:16">
      <c r="A12" s="31" t="s">
        <v>380</v>
      </c>
      <c r="B12" s="37" t="str">
        <f>IFERROR($N$12/12,"")</f>
        <v/>
      </c>
      <c r="C12" s="34" t="str">
        <f t="shared" ref="C12:M12" si="3">IFERROR($N$12/12,"")</f>
        <v/>
      </c>
      <c r="D12" s="34" t="str">
        <f t="shared" si="3"/>
        <v/>
      </c>
      <c r="E12" s="34" t="str">
        <f t="shared" si="3"/>
        <v/>
      </c>
      <c r="F12" s="34" t="str">
        <f t="shared" si="3"/>
        <v/>
      </c>
      <c r="G12" s="34" t="str">
        <f t="shared" si="3"/>
        <v/>
      </c>
      <c r="H12" s="34" t="str">
        <f t="shared" si="3"/>
        <v/>
      </c>
      <c r="I12" s="34" t="str">
        <f t="shared" si="3"/>
        <v/>
      </c>
      <c r="J12" s="34" t="str">
        <f t="shared" si="3"/>
        <v/>
      </c>
      <c r="K12" s="34" t="str">
        <f t="shared" si="3"/>
        <v/>
      </c>
      <c r="L12" s="34" t="str">
        <f t="shared" si="3"/>
        <v/>
      </c>
      <c r="M12" s="34" t="str">
        <f t="shared" si="3"/>
        <v/>
      </c>
      <c r="N12" s="42" t="e">
        <f>(#REF!+#REF!)</f>
        <v>#REF!</v>
      </c>
      <c r="P12" s="25">
        <f t="shared" si="2"/>
        <v>0</v>
      </c>
    </row>
    <row r="13" spans="1:16">
      <c r="A13" s="31" t="s">
        <v>381</v>
      </c>
      <c r="B13" s="37" t="str">
        <f>IFERROR($N$13/12,"")</f>
        <v/>
      </c>
      <c r="C13" s="34" t="str">
        <f t="shared" ref="C13:M13" si="4">IFERROR($N$13/12,"")</f>
        <v/>
      </c>
      <c r="D13" s="34" t="str">
        <f t="shared" si="4"/>
        <v/>
      </c>
      <c r="E13" s="34" t="str">
        <f t="shared" si="4"/>
        <v/>
      </c>
      <c r="F13" s="34" t="str">
        <f t="shared" si="4"/>
        <v/>
      </c>
      <c r="G13" s="34" t="str">
        <f t="shared" si="4"/>
        <v/>
      </c>
      <c r="H13" s="34" t="str">
        <f t="shared" si="4"/>
        <v/>
      </c>
      <c r="I13" s="34" t="str">
        <f t="shared" si="4"/>
        <v/>
      </c>
      <c r="J13" s="34" t="str">
        <f t="shared" si="4"/>
        <v/>
      </c>
      <c r="K13" s="34" t="str">
        <f t="shared" si="4"/>
        <v/>
      </c>
      <c r="L13" s="34" t="str">
        <f t="shared" si="4"/>
        <v/>
      </c>
      <c r="M13" s="34" t="str">
        <f t="shared" si="4"/>
        <v/>
      </c>
      <c r="N13" s="42" t="e">
        <f>(#REF!+#REF!)</f>
        <v>#REF!</v>
      </c>
      <c r="P13" s="25">
        <f t="shared" si="2"/>
        <v>0</v>
      </c>
    </row>
    <row r="14" spans="1:16">
      <c r="A14" s="31" t="s">
        <v>382</v>
      </c>
      <c r="B14" s="37" t="str">
        <f>IFERROR($N$14/12,"")</f>
        <v/>
      </c>
      <c r="C14" s="34" t="str">
        <f>B14</f>
        <v/>
      </c>
      <c r="D14" s="34" t="str">
        <f t="shared" ref="D14:M14" si="5">C14</f>
        <v/>
      </c>
      <c r="E14" s="34" t="str">
        <f t="shared" si="5"/>
        <v/>
      </c>
      <c r="F14" s="34" t="str">
        <f t="shared" si="5"/>
        <v/>
      </c>
      <c r="G14" s="34" t="str">
        <f t="shared" si="5"/>
        <v/>
      </c>
      <c r="H14" s="34" t="str">
        <f t="shared" si="5"/>
        <v/>
      </c>
      <c r="I14" s="34" t="str">
        <f t="shared" si="5"/>
        <v/>
      </c>
      <c r="J14" s="34" t="str">
        <f t="shared" si="5"/>
        <v/>
      </c>
      <c r="K14" s="34" t="str">
        <f t="shared" si="5"/>
        <v/>
      </c>
      <c r="L14" s="34" t="str">
        <f t="shared" si="5"/>
        <v/>
      </c>
      <c r="M14" s="34" t="str">
        <f t="shared" si="5"/>
        <v/>
      </c>
      <c r="N14" s="42" t="e">
        <f>#REF!</f>
        <v>#REF!</v>
      </c>
      <c r="P14" s="25">
        <f>SUM(B14:M14)</f>
        <v>0</v>
      </c>
    </row>
    <row r="15" spans="1:16">
      <c r="A15" s="31" t="s">
        <v>383</v>
      </c>
      <c r="B15" s="38" t="e">
        <f>IF($N$15=0,0,$N$15*B52)</f>
        <v>#REF!</v>
      </c>
      <c r="C15" s="39" t="e">
        <f t="shared" ref="C15:M15" si="6">IF($N$15=0,0,$N$15*C52)</f>
        <v>#REF!</v>
      </c>
      <c r="D15" s="39" t="e">
        <f t="shared" si="6"/>
        <v>#REF!</v>
      </c>
      <c r="E15" s="39" t="e">
        <f t="shared" si="6"/>
        <v>#REF!</v>
      </c>
      <c r="F15" s="39" t="e">
        <f t="shared" si="6"/>
        <v>#REF!</v>
      </c>
      <c r="G15" s="39" t="e">
        <f t="shared" si="6"/>
        <v>#REF!</v>
      </c>
      <c r="H15" s="39" t="e">
        <f t="shared" si="6"/>
        <v>#REF!</v>
      </c>
      <c r="I15" s="39" t="e">
        <f t="shared" si="6"/>
        <v>#REF!</v>
      </c>
      <c r="J15" s="39" t="e">
        <f t="shared" si="6"/>
        <v>#REF!</v>
      </c>
      <c r="K15" s="39" t="e">
        <f t="shared" si="6"/>
        <v>#REF!</v>
      </c>
      <c r="L15" s="39" t="e">
        <f t="shared" si="6"/>
        <v>#REF!</v>
      </c>
      <c r="M15" s="39" t="e">
        <f t="shared" si="6"/>
        <v>#REF!</v>
      </c>
      <c r="N15" s="33" t="e">
        <f>(#REF!+#REF!)</f>
        <v>#REF!</v>
      </c>
      <c r="P15" s="25" t="e">
        <f>SUM(B15:M15)</f>
        <v>#REF!</v>
      </c>
    </row>
    <row r="16" spans="1:16">
      <c r="A16" s="8" t="s">
        <v>384</v>
      </c>
      <c r="B16" s="43" t="e">
        <f>SUM(B11:B15)</f>
        <v>#REF!</v>
      </c>
      <c r="C16" s="43" t="e">
        <f t="shared" ref="C16:M16" si="7">SUM(C11:C15)</f>
        <v>#REF!</v>
      </c>
      <c r="D16" s="43" t="e">
        <f t="shared" si="7"/>
        <v>#REF!</v>
      </c>
      <c r="E16" s="43" t="e">
        <f t="shared" si="7"/>
        <v>#REF!</v>
      </c>
      <c r="F16" s="43" t="e">
        <f t="shared" si="7"/>
        <v>#REF!</v>
      </c>
      <c r="G16" s="43" t="e">
        <f t="shared" si="7"/>
        <v>#REF!</v>
      </c>
      <c r="H16" s="43" t="e">
        <f t="shared" si="7"/>
        <v>#REF!</v>
      </c>
      <c r="I16" s="43" t="e">
        <f t="shared" si="7"/>
        <v>#REF!</v>
      </c>
      <c r="J16" s="43" t="e">
        <f t="shared" si="7"/>
        <v>#REF!</v>
      </c>
      <c r="K16" s="43" t="e">
        <f t="shared" si="7"/>
        <v>#REF!</v>
      </c>
      <c r="L16" s="43" t="e">
        <f t="shared" si="7"/>
        <v>#REF!</v>
      </c>
      <c r="M16" s="43" t="e">
        <f t="shared" si="7"/>
        <v>#REF!</v>
      </c>
      <c r="N16" s="44" t="e">
        <f t="shared" ref="N16:N20" si="8">SUM(B16:M16)</f>
        <v>#REF!</v>
      </c>
    </row>
    <row r="17" spans="1:14">
      <c r="A17" s="8" t="s">
        <v>385</v>
      </c>
      <c r="B17" s="9" t="e">
        <f>B5*#REF!</f>
        <v>#REF!</v>
      </c>
      <c r="C17" s="9" t="e">
        <f>C5*#REF!</f>
        <v>#REF!</v>
      </c>
      <c r="D17" s="9" t="e">
        <f>D5*#REF!</f>
        <v>#REF!</v>
      </c>
      <c r="E17" s="9" t="e">
        <f>E5*#REF!</f>
        <v>#REF!</v>
      </c>
      <c r="F17" s="9" t="e">
        <f>F5*#REF!</f>
        <v>#REF!</v>
      </c>
      <c r="G17" s="9" t="e">
        <f>G5*#REF!</f>
        <v>#REF!</v>
      </c>
      <c r="H17" s="9" t="e">
        <f>H5*#REF!</f>
        <v>#REF!</v>
      </c>
      <c r="I17" s="9" t="e">
        <f>I5*#REF!</f>
        <v>#REF!</v>
      </c>
      <c r="J17" s="9" t="e">
        <f>J5*#REF!</f>
        <v>#REF!</v>
      </c>
      <c r="K17" s="9" t="e">
        <f>K5*#REF!</f>
        <v>#REF!</v>
      </c>
      <c r="L17" s="9" t="e">
        <f>L5*#REF!</f>
        <v>#REF!</v>
      </c>
      <c r="M17" s="9" t="e">
        <f>M5*#REF!</f>
        <v>#REF!</v>
      </c>
      <c r="N17" s="10" t="e">
        <f t="shared" si="8"/>
        <v>#REF!</v>
      </c>
    </row>
    <row r="18" spans="1:14">
      <c r="A18" s="45" t="s">
        <v>386</v>
      </c>
      <c r="B18" s="9" t="e">
        <f>IF(B17&gt;B16,B16,B17)</f>
        <v>#REF!</v>
      </c>
      <c r="C18" s="9" t="e">
        <f t="shared" ref="C18:M18" si="9">IF(C17&gt;C16,C16,C17)</f>
        <v>#REF!</v>
      </c>
      <c r="D18" s="9" t="e">
        <f t="shared" si="9"/>
        <v>#REF!</v>
      </c>
      <c r="E18" s="9" t="e">
        <f t="shared" si="9"/>
        <v>#REF!</v>
      </c>
      <c r="F18" s="9" t="e">
        <f t="shared" si="9"/>
        <v>#REF!</v>
      </c>
      <c r="G18" s="9" t="e">
        <f t="shared" si="9"/>
        <v>#REF!</v>
      </c>
      <c r="H18" s="9" t="e">
        <f t="shared" si="9"/>
        <v>#REF!</v>
      </c>
      <c r="I18" s="9" t="e">
        <f t="shared" si="9"/>
        <v>#REF!</v>
      </c>
      <c r="J18" s="9" t="e">
        <f t="shared" si="9"/>
        <v>#REF!</v>
      </c>
      <c r="K18" s="9" t="e">
        <f t="shared" si="9"/>
        <v>#REF!</v>
      </c>
      <c r="L18" s="9" t="e">
        <f t="shared" si="9"/>
        <v>#REF!</v>
      </c>
      <c r="M18" s="9" t="e">
        <f t="shared" si="9"/>
        <v>#REF!</v>
      </c>
      <c r="N18" s="46" t="e">
        <f t="shared" si="8"/>
        <v>#REF!</v>
      </c>
    </row>
    <row r="19" spans="1:14">
      <c r="A19" s="8" t="s">
        <v>387</v>
      </c>
      <c r="B19" s="9" t="e">
        <f>B17-B18</f>
        <v>#REF!</v>
      </c>
      <c r="C19" s="9" t="e">
        <f t="shared" ref="C19:M19" si="10">C17-C18</f>
        <v>#REF!</v>
      </c>
      <c r="D19" s="9" t="e">
        <f t="shared" si="10"/>
        <v>#REF!</v>
      </c>
      <c r="E19" s="9" t="e">
        <f t="shared" si="10"/>
        <v>#REF!</v>
      </c>
      <c r="F19" s="9" t="e">
        <f t="shared" si="10"/>
        <v>#REF!</v>
      </c>
      <c r="G19" s="9" t="e">
        <f t="shared" si="10"/>
        <v>#REF!</v>
      </c>
      <c r="H19" s="9" t="e">
        <f t="shared" si="10"/>
        <v>#REF!</v>
      </c>
      <c r="I19" s="9" t="e">
        <f t="shared" si="10"/>
        <v>#REF!</v>
      </c>
      <c r="J19" s="9" t="e">
        <f t="shared" si="10"/>
        <v>#REF!</v>
      </c>
      <c r="K19" s="9" t="e">
        <f t="shared" si="10"/>
        <v>#REF!</v>
      </c>
      <c r="L19" s="9" t="e">
        <f t="shared" si="10"/>
        <v>#REF!</v>
      </c>
      <c r="M19" s="9" t="e">
        <f t="shared" si="10"/>
        <v>#REF!</v>
      </c>
      <c r="N19" s="10" t="e">
        <f t="shared" si="8"/>
        <v>#REF!</v>
      </c>
    </row>
    <row r="20" spans="1:14" ht="15" thickBot="1">
      <c r="A20" s="11" t="s">
        <v>388</v>
      </c>
      <c r="B20" s="12" t="e">
        <f>IF(B17&lt;B16,B16-B17,0)</f>
        <v>#REF!</v>
      </c>
      <c r="C20" s="12" t="e">
        <f t="shared" ref="C20:M20" si="11">IF(C17&lt;C16,C16-C17,0)</f>
        <v>#REF!</v>
      </c>
      <c r="D20" s="12" t="e">
        <f t="shared" si="11"/>
        <v>#REF!</v>
      </c>
      <c r="E20" s="12" t="e">
        <f t="shared" si="11"/>
        <v>#REF!</v>
      </c>
      <c r="F20" s="12" t="e">
        <f t="shared" si="11"/>
        <v>#REF!</v>
      </c>
      <c r="G20" s="12" t="e">
        <f t="shared" si="11"/>
        <v>#REF!</v>
      </c>
      <c r="H20" s="12" t="e">
        <f t="shared" si="11"/>
        <v>#REF!</v>
      </c>
      <c r="I20" s="12" t="e">
        <f t="shared" si="11"/>
        <v>#REF!</v>
      </c>
      <c r="J20" s="12" t="e">
        <f t="shared" si="11"/>
        <v>#REF!</v>
      </c>
      <c r="K20" s="12" t="e">
        <f t="shared" si="11"/>
        <v>#REF!</v>
      </c>
      <c r="L20" s="12" t="e">
        <f t="shared" si="11"/>
        <v>#REF!</v>
      </c>
      <c r="M20" s="12" t="e">
        <f t="shared" si="11"/>
        <v>#REF!</v>
      </c>
      <c r="N20" s="13" t="e">
        <f t="shared" si="8"/>
        <v>#REF!</v>
      </c>
    </row>
    <row r="21" spans="1:14" ht="15" thickTop="1"/>
    <row r="25" spans="1:14" ht="80.45" customHeight="1"/>
    <row r="26" spans="1:14">
      <c r="A26" t="s">
        <v>389</v>
      </c>
      <c r="B26">
        <v>9.61</v>
      </c>
      <c r="C26">
        <v>23.8</v>
      </c>
      <c r="D26">
        <v>64.17</v>
      </c>
      <c r="E26">
        <v>112.5</v>
      </c>
      <c r="F26">
        <v>168.32999999999998</v>
      </c>
      <c r="G26">
        <v>173.7</v>
      </c>
      <c r="H26">
        <v>175.15</v>
      </c>
      <c r="I26">
        <v>137.32999999999998</v>
      </c>
      <c r="J26">
        <v>81.600000000000009</v>
      </c>
      <c r="K26">
        <v>37.199999999999996</v>
      </c>
      <c r="L26">
        <v>11.700000000000001</v>
      </c>
      <c r="M26">
        <v>5.89</v>
      </c>
      <c r="N26" s="25">
        <f>SUM(B26:M26)</f>
        <v>1000.98</v>
      </c>
    </row>
    <row r="27" spans="1:14">
      <c r="A27" t="s">
        <v>390</v>
      </c>
      <c r="B27">
        <v>9.92</v>
      </c>
      <c r="C27">
        <v>24.64</v>
      </c>
      <c r="D27">
        <v>62.309999999999995</v>
      </c>
      <c r="E27">
        <v>104.7</v>
      </c>
      <c r="F27">
        <v>151.9</v>
      </c>
      <c r="G27">
        <v>158.4</v>
      </c>
      <c r="H27">
        <v>161.51</v>
      </c>
      <c r="I27">
        <v>127.72</v>
      </c>
      <c r="J27">
        <v>75.3</v>
      </c>
      <c r="K27">
        <v>34.720000000000006</v>
      </c>
      <c r="L27">
        <v>12</v>
      </c>
      <c r="M27">
        <v>5.89</v>
      </c>
      <c r="N27" s="25">
        <f t="shared" ref="N27:N47" si="12">SUM(B27:M27)</f>
        <v>929.01</v>
      </c>
    </row>
    <row r="28" spans="1:14">
      <c r="A28" t="s">
        <v>391</v>
      </c>
      <c r="B28">
        <v>10.85</v>
      </c>
      <c r="C28">
        <v>24.36</v>
      </c>
      <c r="D28">
        <v>62</v>
      </c>
      <c r="E28">
        <v>110.7</v>
      </c>
      <c r="F28">
        <v>160.57999999999998</v>
      </c>
      <c r="G28">
        <v>167.10000000000002</v>
      </c>
      <c r="H28">
        <v>168.95000000000002</v>
      </c>
      <c r="I28">
        <v>135.78</v>
      </c>
      <c r="J28">
        <v>83.7</v>
      </c>
      <c r="K28">
        <v>43.4</v>
      </c>
      <c r="L28">
        <v>14.399999999999999</v>
      </c>
      <c r="M28">
        <v>7.13</v>
      </c>
      <c r="N28" s="25">
        <f t="shared" si="12"/>
        <v>988.95</v>
      </c>
    </row>
    <row r="29" spans="1:14">
      <c r="A29" t="s">
        <v>392</v>
      </c>
      <c r="B29">
        <v>12.4</v>
      </c>
      <c r="C29">
        <v>27.16</v>
      </c>
      <c r="D29">
        <v>62.929999999999993</v>
      </c>
      <c r="E29">
        <v>108.60000000000001</v>
      </c>
      <c r="F29">
        <v>157.47999999999999</v>
      </c>
      <c r="G29">
        <v>162.6</v>
      </c>
      <c r="H29">
        <v>164.92000000000002</v>
      </c>
      <c r="I29">
        <v>134.54</v>
      </c>
      <c r="J29">
        <v>81.600000000000009</v>
      </c>
      <c r="K29">
        <v>40.92</v>
      </c>
      <c r="L29">
        <v>14.7</v>
      </c>
      <c r="M29">
        <v>8.06</v>
      </c>
      <c r="N29" s="25">
        <f t="shared" si="12"/>
        <v>975.90999999999985</v>
      </c>
    </row>
    <row r="30" spans="1:14">
      <c r="A30" t="s">
        <v>393</v>
      </c>
      <c r="B30">
        <v>10.540000000000001</v>
      </c>
      <c r="C30">
        <v>24.08</v>
      </c>
      <c r="D30">
        <v>61.69</v>
      </c>
      <c r="E30">
        <v>111.3</v>
      </c>
      <c r="F30">
        <v>161.51</v>
      </c>
      <c r="G30">
        <v>167.7</v>
      </c>
      <c r="H30">
        <v>170.19</v>
      </c>
      <c r="I30">
        <v>136.71</v>
      </c>
      <c r="J30">
        <v>84.9</v>
      </c>
      <c r="K30">
        <v>43.71</v>
      </c>
      <c r="L30">
        <v>14.1</v>
      </c>
      <c r="M30">
        <v>7.13</v>
      </c>
      <c r="N30" s="25">
        <f t="shared" si="12"/>
        <v>993.56000000000006</v>
      </c>
    </row>
    <row r="31" spans="1:14">
      <c r="A31" t="s">
        <v>394</v>
      </c>
      <c r="B31">
        <v>10.540000000000001</v>
      </c>
      <c r="C31">
        <v>25.48</v>
      </c>
      <c r="D31">
        <v>61.69</v>
      </c>
      <c r="E31">
        <v>107.1</v>
      </c>
      <c r="F31">
        <v>155.93</v>
      </c>
      <c r="G31">
        <v>162</v>
      </c>
      <c r="H31">
        <v>164.60999999999999</v>
      </c>
      <c r="I31">
        <v>130.51</v>
      </c>
      <c r="J31">
        <v>77.400000000000006</v>
      </c>
      <c r="K31">
        <v>36.58</v>
      </c>
      <c r="L31">
        <v>12.9</v>
      </c>
      <c r="M31">
        <v>6.51</v>
      </c>
      <c r="N31" s="25">
        <f t="shared" si="12"/>
        <v>951.25</v>
      </c>
    </row>
    <row r="32" spans="1:14">
      <c r="A32" t="s">
        <v>395</v>
      </c>
      <c r="B32">
        <v>10.540000000000001</v>
      </c>
      <c r="C32">
        <v>23.24</v>
      </c>
      <c r="D32">
        <v>61.07</v>
      </c>
      <c r="E32">
        <v>110.4</v>
      </c>
      <c r="F32">
        <v>161.20000000000002</v>
      </c>
      <c r="G32">
        <v>166.79999999999998</v>
      </c>
      <c r="H32">
        <v>168.64000000000001</v>
      </c>
      <c r="I32">
        <v>135.47</v>
      </c>
      <c r="J32">
        <v>83.7</v>
      </c>
      <c r="K32">
        <v>43.089999999999996</v>
      </c>
      <c r="L32">
        <v>14.1</v>
      </c>
      <c r="M32">
        <v>14.569999999999999</v>
      </c>
      <c r="N32" s="25">
        <f t="shared" si="12"/>
        <v>992.82000000000016</v>
      </c>
    </row>
    <row r="33" spans="1:14">
      <c r="A33" t="s">
        <v>396</v>
      </c>
      <c r="B33">
        <v>8.99</v>
      </c>
      <c r="C33">
        <v>21.560000000000002</v>
      </c>
      <c r="D33">
        <v>61.69</v>
      </c>
      <c r="E33">
        <v>112.5</v>
      </c>
      <c r="F33">
        <v>164.92000000000002</v>
      </c>
      <c r="G33">
        <v>171.9</v>
      </c>
      <c r="H33">
        <v>169.57</v>
      </c>
      <c r="I33">
        <v>134.54</v>
      </c>
      <c r="J33">
        <v>79.800000000000011</v>
      </c>
      <c r="K33">
        <v>38.130000000000003</v>
      </c>
      <c r="L33">
        <v>12.299999999999999</v>
      </c>
      <c r="M33">
        <v>5.89</v>
      </c>
      <c r="N33" s="25">
        <f t="shared" si="12"/>
        <v>981.79</v>
      </c>
    </row>
    <row r="34" spans="1:14">
      <c r="A34" t="s">
        <v>397</v>
      </c>
      <c r="B34">
        <v>11.47</v>
      </c>
      <c r="C34">
        <v>25.48</v>
      </c>
      <c r="D34">
        <v>67.89</v>
      </c>
      <c r="E34">
        <v>120</v>
      </c>
      <c r="F34">
        <v>170.19</v>
      </c>
      <c r="G34">
        <v>178.8</v>
      </c>
      <c r="H34">
        <v>175.46</v>
      </c>
      <c r="I34">
        <v>139.5</v>
      </c>
      <c r="J34">
        <v>87.300000000000011</v>
      </c>
      <c r="K34">
        <v>42.779999999999994</v>
      </c>
      <c r="L34">
        <v>15</v>
      </c>
      <c r="M34">
        <v>7.75</v>
      </c>
      <c r="N34" s="25">
        <f t="shared" si="12"/>
        <v>1041.6199999999999</v>
      </c>
    </row>
    <row r="35" spans="1:14">
      <c r="A35" t="s">
        <v>398</v>
      </c>
      <c r="B35">
        <v>9.92</v>
      </c>
      <c r="C35">
        <v>22.400000000000002</v>
      </c>
      <c r="D35">
        <v>62.929999999999993</v>
      </c>
      <c r="E35">
        <v>109.2</v>
      </c>
      <c r="F35">
        <v>158.1</v>
      </c>
      <c r="G35">
        <v>162.6</v>
      </c>
      <c r="H35">
        <v>163.68</v>
      </c>
      <c r="I35">
        <v>131.75</v>
      </c>
      <c r="J35">
        <v>79.5</v>
      </c>
      <c r="K35">
        <v>39.06</v>
      </c>
      <c r="L35">
        <v>13.2</v>
      </c>
      <c r="M35">
        <v>6.82</v>
      </c>
      <c r="N35" s="25">
        <f t="shared" si="12"/>
        <v>959.16</v>
      </c>
    </row>
    <row r="36" spans="1:14">
      <c r="A36" t="s">
        <v>399</v>
      </c>
      <c r="B36">
        <v>11.16</v>
      </c>
      <c r="C36">
        <v>25.48</v>
      </c>
      <c r="D36">
        <v>67.58</v>
      </c>
      <c r="E36">
        <v>116.7</v>
      </c>
      <c r="F36">
        <v>167.09</v>
      </c>
      <c r="G36">
        <v>174.60000000000002</v>
      </c>
      <c r="H36">
        <v>171.11999999999998</v>
      </c>
      <c r="I36">
        <v>135.47</v>
      </c>
      <c r="J36">
        <v>83.7</v>
      </c>
      <c r="K36">
        <v>40.92</v>
      </c>
      <c r="L36">
        <v>14.1</v>
      </c>
      <c r="M36">
        <v>7.13</v>
      </c>
      <c r="N36" s="25">
        <f t="shared" si="12"/>
        <v>1015.0500000000001</v>
      </c>
    </row>
    <row r="37" spans="1:14">
      <c r="A37" t="s">
        <v>400</v>
      </c>
      <c r="B37">
        <v>10.23</v>
      </c>
      <c r="C37">
        <v>24.08</v>
      </c>
      <c r="D37">
        <v>61.69</v>
      </c>
      <c r="E37">
        <v>105.3</v>
      </c>
      <c r="F37">
        <v>153.45000000000002</v>
      </c>
      <c r="G37">
        <v>159</v>
      </c>
      <c r="H37">
        <v>160.89000000000001</v>
      </c>
      <c r="I37">
        <v>129.27000000000001</v>
      </c>
      <c r="J37">
        <v>77.099999999999994</v>
      </c>
      <c r="K37">
        <v>36.89</v>
      </c>
      <c r="L37">
        <v>12.6</v>
      </c>
      <c r="M37">
        <v>6.2</v>
      </c>
      <c r="N37" s="25">
        <f t="shared" si="12"/>
        <v>936.7</v>
      </c>
    </row>
    <row r="38" spans="1:14">
      <c r="A38" t="s">
        <v>401</v>
      </c>
      <c r="B38">
        <v>11.47</v>
      </c>
      <c r="C38">
        <v>26.599999999999998</v>
      </c>
      <c r="D38">
        <v>61.69</v>
      </c>
      <c r="E38">
        <v>107.4</v>
      </c>
      <c r="F38">
        <v>154.69</v>
      </c>
      <c r="G38">
        <v>161.1</v>
      </c>
      <c r="H38">
        <v>163.36999999999998</v>
      </c>
      <c r="I38">
        <v>131.13000000000002</v>
      </c>
      <c r="J38">
        <v>78.600000000000009</v>
      </c>
      <c r="K38">
        <v>38.130000000000003</v>
      </c>
      <c r="L38">
        <v>13.5</v>
      </c>
      <c r="M38">
        <v>7.13</v>
      </c>
      <c r="N38" s="25">
        <f t="shared" si="12"/>
        <v>954.81000000000006</v>
      </c>
    </row>
    <row r="39" spans="1:14">
      <c r="A39" t="s">
        <v>402</v>
      </c>
      <c r="B39">
        <v>10.85</v>
      </c>
      <c r="C39">
        <v>24.64</v>
      </c>
      <c r="D39">
        <v>63.24</v>
      </c>
      <c r="E39">
        <v>110.1</v>
      </c>
      <c r="F39">
        <v>159.96</v>
      </c>
      <c r="G39">
        <v>164.1</v>
      </c>
      <c r="H39">
        <v>166.16</v>
      </c>
      <c r="I39">
        <v>132.99</v>
      </c>
      <c r="J39">
        <v>80.7</v>
      </c>
      <c r="K39">
        <v>40.92</v>
      </c>
      <c r="L39">
        <v>13.5</v>
      </c>
      <c r="M39">
        <v>7.13</v>
      </c>
      <c r="N39" s="25">
        <f t="shared" si="12"/>
        <v>974.29</v>
      </c>
    </row>
    <row r="40" spans="1:14">
      <c r="A40" t="s">
        <v>403</v>
      </c>
      <c r="B40">
        <v>9.2999999999999989</v>
      </c>
      <c r="C40">
        <v>23.24</v>
      </c>
      <c r="D40">
        <v>60.14</v>
      </c>
      <c r="E40">
        <v>106.2</v>
      </c>
      <c r="F40">
        <v>156.54999999999998</v>
      </c>
      <c r="G40">
        <v>163.20000000000002</v>
      </c>
      <c r="H40">
        <v>164.92000000000002</v>
      </c>
      <c r="I40">
        <v>130.20000000000002</v>
      </c>
      <c r="J40">
        <v>77.099999999999994</v>
      </c>
      <c r="K40">
        <v>35.96</v>
      </c>
      <c r="L40">
        <v>11.4</v>
      </c>
      <c r="M40">
        <v>5.58</v>
      </c>
      <c r="N40" s="25">
        <f t="shared" si="12"/>
        <v>943.79000000000008</v>
      </c>
    </row>
    <row r="41" spans="1:14">
      <c r="A41" t="s">
        <v>404</v>
      </c>
      <c r="B41">
        <v>10.85</v>
      </c>
      <c r="C41">
        <v>24.64</v>
      </c>
      <c r="D41">
        <v>62</v>
      </c>
      <c r="E41">
        <v>110.1</v>
      </c>
      <c r="F41">
        <v>157.17000000000002</v>
      </c>
      <c r="G41">
        <v>162</v>
      </c>
      <c r="H41">
        <v>163.36999999999998</v>
      </c>
      <c r="I41">
        <v>132.68</v>
      </c>
      <c r="J41">
        <v>82.5</v>
      </c>
      <c r="K41">
        <v>41.85</v>
      </c>
      <c r="L41">
        <v>13.8</v>
      </c>
      <c r="M41">
        <v>7.4399999999999995</v>
      </c>
      <c r="N41" s="25">
        <f t="shared" si="12"/>
        <v>968.4</v>
      </c>
    </row>
    <row r="42" spans="1:14">
      <c r="A42" t="s">
        <v>405</v>
      </c>
      <c r="B42">
        <v>11.16</v>
      </c>
      <c r="C42">
        <v>25.2</v>
      </c>
      <c r="D42">
        <v>62.62</v>
      </c>
      <c r="E42">
        <v>106.8</v>
      </c>
      <c r="F42">
        <v>154.38000000000002</v>
      </c>
      <c r="G42">
        <v>160.80000000000001</v>
      </c>
      <c r="H42">
        <v>162.75</v>
      </c>
      <c r="I42">
        <v>131.75</v>
      </c>
      <c r="J42">
        <v>78.600000000000009</v>
      </c>
      <c r="K42">
        <v>39.369999999999997</v>
      </c>
      <c r="L42">
        <v>13.5</v>
      </c>
      <c r="M42">
        <v>7.13</v>
      </c>
      <c r="N42" s="25">
        <f t="shared" si="12"/>
        <v>954.06000000000006</v>
      </c>
    </row>
    <row r="43" spans="1:14">
      <c r="A43" t="s">
        <v>406</v>
      </c>
      <c r="B43">
        <v>10.23</v>
      </c>
      <c r="C43">
        <v>24.64</v>
      </c>
      <c r="D43">
        <v>65.100000000000009</v>
      </c>
      <c r="E43">
        <v>111.60000000000001</v>
      </c>
      <c r="F43">
        <v>164.60999999999999</v>
      </c>
      <c r="G43">
        <v>169.5</v>
      </c>
      <c r="H43">
        <v>170.81</v>
      </c>
      <c r="I43">
        <v>135.16</v>
      </c>
      <c r="J43">
        <v>81.600000000000009</v>
      </c>
      <c r="K43">
        <v>39.369999999999997</v>
      </c>
      <c r="L43">
        <v>12.9</v>
      </c>
      <c r="M43">
        <v>6.51</v>
      </c>
      <c r="N43" s="25">
        <f t="shared" si="12"/>
        <v>992.03</v>
      </c>
    </row>
    <row r="44" spans="1:14">
      <c r="A44" t="s">
        <v>407</v>
      </c>
      <c r="B44">
        <v>10.540000000000001</v>
      </c>
      <c r="C44">
        <v>23.52</v>
      </c>
      <c r="D44">
        <v>63.24</v>
      </c>
      <c r="E44">
        <v>110.4</v>
      </c>
      <c r="F44">
        <v>157.17000000000002</v>
      </c>
      <c r="G44">
        <v>162.89999999999998</v>
      </c>
      <c r="H44">
        <v>163.06</v>
      </c>
      <c r="I44">
        <v>132.06</v>
      </c>
      <c r="J44">
        <v>80.7</v>
      </c>
      <c r="K44">
        <v>40.300000000000004</v>
      </c>
      <c r="L44">
        <v>13.2</v>
      </c>
      <c r="M44">
        <v>6.82</v>
      </c>
      <c r="N44" s="25">
        <f t="shared" si="12"/>
        <v>963.91</v>
      </c>
    </row>
    <row r="45" spans="1:14">
      <c r="A45" t="s">
        <v>408</v>
      </c>
      <c r="B45">
        <v>9.92</v>
      </c>
      <c r="C45">
        <v>23.52</v>
      </c>
      <c r="D45">
        <v>65.72</v>
      </c>
      <c r="E45">
        <v>117</v>
      </c>
      <c r="F45">
        <v>168.95000000000002</v>
      </c>
      <c r="G45">
        <v>176.7</v>
      </c>
      <c r="H45">
        <v>174.22</v>
      </c>
      <c r="I45">
        <v>137.64000000000001</v>
      </c>
      <c r="J45">
        <v>83.399999999999991</v>
      </c>
      <c r="K45">
        <v>40.300000000000004</v>
      </c>
      <c r="L45">
        <v>13.2</v>
      </c>
      <c r="M45">
        <v>6.2</v>
      </c>
      <c r="N45" s="25">
        <f t="shared" si="12"/>
        <v>1016.77</v>
      </c>
    </row>
    <row r="46" spans="1:14">
      <c r="A46" t="s">
        <v>409</v>
      </c>
      <c r="B46">
        <v>11.47</v>
      </c>
      <c r="C46">
        <v>25.48</v>
      </c>
      <c r="D46">
        <v>62.62</v>
      </c>
      <c r="E46">
        <v>107.69999999999999</v>
      </c>
      <c r="F46">
        <v>155.31</v>
      </c>
      <c r="G46">
        <v>161.1</v>
      </c>
      <c r="H46">
        <v>163.36999999999998</v>
      </c>
      <c r="I46">
        <v>131.75</v>
      </c>
      <c r="J46">
        <v>78.600000000000009</v>
      </c>
      <c r="K46">
        <v>39.369999999999997</v>
      </c>
      <c r="L46">
        <v>13.8</v>
      </c>
      <c r="M46">
        <v>7.4399999999999995</v>
      </c>
      <c r="N46" s="25">
        <f t="shared" si="12"/>
        <v>958.01</v>
      </c>
    </row>
    <row r="47" spans="1:14">
      <c r="A47" t="s">
        <v>410</v>
      </c>
      <c r="B47">
        <v>10.540000000000001</v>
      </c>
      <c r="C47">
        <v>24.64</v>
      </c>
      <c r="D47">
        <v>62.309999999999995</v>
      </c>
      <c r="E47">
        <v>105.3</v>
      </c>
      <c r="F47">
        <v>153.14000000000001</v>
      </c>
      <c r="G47">
        <v>159</v>
      </c>
      <c r="H47">
        <v>161.20000000000002</v>
      </c>
      <c r="I47">
        <v>128.65</v>
      </c>
      <c r="J47">
        <v>76.5</v>
      </c>
      <c r="K47">
        <v>36.269999999999996</v>
      </c>
      <c r="L47">
        <v>12.299999999999999</v>
      </c>
      <c r="M47">
        <v>6.51</v>
      </c>
      <c r="N47" s="25">
        <f t="shared" si="12"/>
        <v>936.36</v>
      </c>
    </row>
    <row r="49" spans="2:14">
      <c r="B49" s="25" t="e">
        <f>#REF!</f>
        <v>#REF!</v>
      </c>
      <c r="C49" s="25" t="e">
        <f>#REF!</f>
        <v>#REF!</v>
      </c>
      <c r="D49" s="25" t="e">
        <f>#REF!</f>
        <v>#REF!</v>
      </c>
      <c r="E49" s="25" t="e">
        <f>#REF!</f>
        <v>#REF!</v>
      </c>
      <c r="F49" s="25" t="e">
        <f>#REF!</f>
        <v>#REF!</v>
      </c>
      <c r="G49" s="25" t="e">
        <f>#REF!</f>
        <v>#REF!</v>
      </c>
      <c r="H49" s="25" t="e">
        <f>#REF!</f>
        <v>#REF!</v>
      </c>
      <c r="I49" s="25" t="e">
        <f>#REF!</f>
        <v>#REF!</v>
      </c>
      <c r="J49" s="25" t="e">
        <f>#REF!</f>
        <v>#REF!</v>
      </c>
      <c r="K49" s="25" t="e">
        <f>#REF!</f>
        <v>#REF!</v>
      </c>
      <c r="L49" s="25" t="e">
        <f>#REF!</f>
        <v>#REF!</v>
      </c>
      <c r="M49" s="25" t="e">
        <f>#REF!</f>
        <v>#REF!</v>
      </c>
      <c r="N49" s="25" t="e">
        <f>SUM(B49:M49)</f>
        <v>#REF!</v>
      </c>
    </row>
    <row r="50" spans="2:14">
      <c r="B50" s="40" t="e">
        <f>B49/$N$49</f>
        <v>#REF!</v>
      </c>
      <c r="C50" s="40" t="e">
        <f t="shared" ref="C50:M50" si="13">C49/$N$49</f>
        <v>#REF!</v>
      </c>
      <c r="D50" s="40" t="e">
        <f t="shared" si="13"/>
        <v>#REF!</v>
      </c>
      <c r="E50" s="40" t="e">
        <f t="shared" si="13"/>
        <v>#REF!</v>
      </c>
      <c r="F50" s="40" t="e">
        <f t="shared" si="13"/>
        <v>#REF!</v>
      </c>
      <c r="G50" s="40" t="e">
        <f t="shared" si="13"/>
        <v>#REF!</v>
      </c>
      <c r="H50" s="40" t="e">
        <f t="shared" si="13"/>
        <v>#REF!</v>
      </c>
      <c r="I50" s="40" t="e">
        <f t="shared" si="13"/>
        <v>#REF!</v>
      </c>
      <c r="J50" s="40" t="e">
        <f t="shared" si="13"/>
        <v>#REF!</v>
      </c>
      <c r="K50" s="40" t="e">
        <f t="shared" si="13"/>
        <v>#REF!</v>
      </c>
      <c r="L50" s="40" t="e">
        <f t="shared" si="13"/>
        <v>#REF!</v>
      </c>
      <c r="M50" s="40" t="e">
        <f t="shared" si="13"/>
        <v>#REF!</v>
      </c>
      <c r="N50" s="25" t="e">
        <f>SUM(B50:M50)</f>
        <v>#REF!</v>
      </c>
    </row>
    <row r="51" spans="2:14">
      <c r="B51">
        <v>3.6146417350525706E-2</v>
      </c>
      <c r="C51">
        <v>7.6279205039020345E-2</v>
      </c>
      <c r="D51">
        <v>0.28064469227002325</v>
      </c>
      <c r="E51">
        <v>0.78384687481672821</v>
      </c>
      <c r="F51">
        <v>1.7446081860138685</v>
      </c>
      <c r="G51">
        <v>2.7434421628880106</v>
      </c>
      <c r="H51">
        <v>4.9010512512828397</v>
      </c>
      <c r="I51">
        <v>3.4253706119911995</v>
      </c>
      <c r="J51">
        <v>1.3396992369508889</v>
      </c>
      <c r="K51">
        <v>0.3331348971895477</v>
      </c>
      <c r="L51">
        <v>6.4177810239405275E-2</v>
      </c>
      <c r="M51">
        <v>3.0176757462524875E-2</v>
      </c>
      <c r="N51">
        <f>SUM(B51:M51)</f>
        <v>15.758578103494582</v>
      </c>
    </row>
    <row r="52" spans="2:14">
      <c r="B52">
        <f>B51/$N$51</f>
        <v>2.2937613478280741E-3</v>
      </c>
      <c r="C52">
        <f t="shared" ref="C52:M52" si="14">C51/$N$51</f>
        <v>4.8404877989661303E-3</v>
      </c>
      <c r="D52">
        <f t="shared" si="14"/>
        <v>1.780901109395068E-2</v>
      </c>
      <c r="E52">
        <f t="shared" si="14"/>
        <v>4.9740964550786748E-2</v>
      </c>
      <c r="F52">
        <f t="shared" si="14"/>
        <v>0.11070847728495178</v>
      </c>
      <c r="G52">
        <f t="shared" si="14"/>
        <v>0.174091986273789</v>
      </c>
      <c r="H52">
        <f t="shared" si="14"/>
        <v>0.31100846910775504</v>
      </c>
      <c r="I52">
        <f t="shared" si="14"/>
        <v>0.21736546213085037</v>
      </c>
      <c r="J52">
        <f t="shared" si="14"/>
        <v>8.501396687901687E-2</v>
      </c>
      <c r="K52">
        <f t="shared" si="14"/>
        <v>2.1139908372549969E-2</v>
      </c>
      <c r="L52">
        <f t="shared" si="14"/>
        <v>4.0725635154337542E-3</v>
      </c>
      <c r="M52">
        <f t="shared" si="14"/>
        <v>1.9149416441216201E-3</v>
      </c>
      <c r="N52">
        <f>SUM(B52:M52)</f>
        <v>1</v>
      </c>
    </row>
  </sheetData>
  <mergeCells count="3">
    <mergeCell ref="B2:E2"/>
    <mergeCell ref="F2:H2"/>
    <mergeCell ref="B9:N9"/>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2144e59-5907-413f-b624-803f3a022d9b" xsi:nil="true"/>
    <lcf76f155ced4ddcb4097134ff3c332f xmlns="25a75a1d-8b78-49a6-8e4b-dbe94589a28d">
      <Terms xmlns="http://schemas.microsoft.com/office/infopath/2007/PartnerControls"/>
    </lcf76f155ced4ddcb4097134ff3c332f>
    <SharedWithUsers xmlns="42144e59-5907-413f-b624-803f3a022d9b">
      <UserInfo>
        <DisplayName/>
        <AccountId xsi:nil="true"/>
        <AccountType/>
      </UserInfo>
    </SharedWithUsers>
    <MediaLengthInSeconds xmlns="25a75a1d-8b78-49a6-8e4b-dbe94589a28d" xsi:nil="true"/>
  </documentManagement>
</p:properties>
</file>

<file path=customXml/itemProps1.xml><?xml version="1.0" encoding="utf-8"?>
<ds:datastoreItem xmlns:ds="http://schemas.openxmlformats.org/officeDocument/2006/customXml" ds:itemID="{8B3BBFA9-FA7B-4CE8-BBFD-E4FC29AED9E7}"/>
</file>

<file path=customXml/itemProps2.xml><?xml version="1.0" encoding="utf-8"?>
<ds:datastoreItem xmlns:ds="http://schemas.openxmlformats.org/officeDocument/2006/customXml" ds:itemID="{5384379D-F868-4805-9142-88C5935DF9D8}"/>
</file>

<file path=customXml/itemProps3.xml><?xml version="1.0" encoding="utf-8"?>
<ds:datastoreItem xmlns:ds="http://schemas.openxmlformats.org/officeDocument/2006/customXml" ds:itemID="{0E9D7940-D045-418B-9F37-A03333BD88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Modris</dc:creator>
  <cp:keywords/>
  <dc:description/>
  <cp:lastModifiedBy/>
  <cp:revision/>
  <dcterms:created xsi:type="dcterms:W3CDTF">2021-08-31T15:22:26Z</dcterms:created>
  <dcterms:modified xsi:type="dcterms:W3CDTF">2025-03-21T07:36:25Z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Order">
    <vt:r8>253800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