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OneDrive - cfla.gov.lv\Desktop\"/>
    </mc:Choice>
  </mc:AlternateContent>
  <xr:revisionPtr revIDLastSave="0" documentId="8_{1EFDF598-5F9B-43C1-8535-9F086B48B23E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6" l="1"/>
  <c r="I11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I4" i="16" s="1"/>
  <c r="B20" i="16"/>
  <c r="B25" i="16" l="1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V10" i="40"/>
  <c r="V9" i="40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4" i="43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tc={F6CA9119-2C1D-4AE5-A6B4-DB5EC7A6A35B}</author>
  </authors>
  <commentList>
    <comment ref="U2" authorId="0" shapeId="0" xr:uid="{F6CA9119-2C1D-4AE5-A6B4-DB5EC7A6A35B}">
      <text>
        <t>[Threaded comment]
Your version of Excel allows you to read this threaded comment; however, any edits to it will get removed if the file is opened in a newer version of Excel. Learn more: https://go.microsoft.com/fwlink/?linkid=870924
Comment:
    šet nav uztverāmi, kas tieši ir jāsalīdzina ar 8.kolonnu</t>
      </text>
    </comment>
  </commentList>
</comments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<sst xmlns="http://schemas.openxmlformats.org/spreadsheetml/2006/main" count="558" uniqueCount="119">
  <si>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</si>
  <si>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</si>
  <si>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</si>
  <si>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</si>
  <si>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</si>
  <si>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</si>
  <si>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</si>
  <si>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</si>
  <si>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</si>
  <si>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</si>
  <si>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</si>
  <si>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</si>
  <si>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</si>
  <si>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</si>
  <si>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</si>
  <si>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</si>
  <si>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</si>
  <si>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</si>
  <si>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</si>
  <si>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</si>
  <si>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</si>
  <si>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Finansējuma saņēmēja sniegtie dati  par 12 kalendārajiem mēnešiem (pārskata periodam jāsakrīt ar 8.kolonnā norādīto)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</si>
  <si>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</si>
  <si>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</si>
  <si>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</si>
  <si>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</si>
  <si>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</si>
  <si>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</si>
  <si>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</si>
  <si>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</si>
  <si>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</si>
  <si>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</si>
  <si>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</si>
  <si>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</si>
  <si>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</si>
  <si>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</si>
  <si>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</si>
  <si>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</si>
  <si>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</si>
  <si>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</si>
  <si>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</si>
  <si>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</si>
  <si>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</si>
  <si>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</si>
  <si>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</si>
  <si>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</si>
  <si>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</si>
  <si>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</si>
  <si>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</si>
  <si>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</si>
  <si>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</si>
  <si>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</si>
  <si>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</si>
  <si>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</si>
  <si>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</si>
  <si>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</si>
  <si>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</si>
  <si>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</si>
  <si>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</si>
  <si>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</si>
  <si>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</si>
  <si>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</si>
  <si>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</si>
  <si>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</si>
  <si>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</si>
  <si>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</si>
  <si>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</si>
  <si>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</si>
  <si>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</si>
  <si>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</si>
  <si>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</si>
  <si>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</si>
  <si>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</si>
  <si>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</si>
  <si>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</si>
  <si>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</si>
  <si>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</si>
  <si>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</si>
  <si>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</si>
  <si>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</si>
  <si>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</si>
  <si>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</si>
  <si>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</si>
  <si>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</si>
  <si>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</si>
  <si>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</si>
  <si>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</si>
  <si>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</si>
  <si>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</si>
  <si>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</si>
  <si>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</si>
  <si>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</si>
  <si>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</si>
  <si>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</si>
  <si>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</si>
  <si>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</si>
  <si>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</si>
  <si>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</si>
  <si>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</si>
  <si>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</si>
  <si>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</si>
  <si>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</si>
  <si>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</si>
  <si>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</si>
  <si>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</si>
  <si>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</si>
  <si>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</si>
  <si>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</si>
  <si>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</si>
  <si>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</si>
  <si>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</si>
  <si>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</si>
  <si>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</si>
  <si>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</si>
  <si>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</si>
  <si>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</si>
  <si>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</si>
  <si>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</si>
  <si>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8.rindu)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</si>
</sst>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Visikovska" id="{D4F2B377-9CDB-4DCB-94C5-3652841410BB}" userId="S::karina.visikovska@cfla.gov.lv::be67ce49-6954-4256-ad51-4848704c1d6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2" dT="2025-01-13T13:59:03.95" personId="{D4F2B377-9CDB-4DCB-94C5-3652841410BB}" id="{F6CA9119-2C1D-4AE5-A6B4-DB5EC7A6A35B}">
    <text>šet nav uztverāmi, kas tieši ir jāsalīdzina ar 8.kolonnu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view="pageBreakPreview" zoomScale="75" zoomScaleNormal="100" zoomScaleSheetLayoutView="75" zoomScalePageLayoutView="40" workbookViewId="0">
      <pane xSplit="2" ySplit="2" topLeftCell="C9" activePane="bottomRight" state="frozen"/>
      <selection pane="topRight" activeCell="C1" sqref="C1"/>
      <selection pane="bottomLeft" activeCell="A4" sqref="A4"/>
      <selection pane="bottomRight" activeCell="Q9" sqref="Q9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s="74" customFormat="1" ht="86.4" x14ac:dyDescent="0.3">
      <c r="A2" s="121" t="s">
        <v>1</v>
      </c>
      <c r="B2" s="122" t="s">
        <v>72</v>
      </c>
      <c r="C2" s="123" t="s">
        <v>86</v>
      </c>
      <c r="D2" s="124" t="s">
        <v>2</v>
      </c>
      <c r="E2" s="125" t="s">
        <v>62</v>
      </c>
      <c r="F2" s="121" t="s">
        <v>3</v>
      </c>
      <c r="G2" s="126" t="s">
        <v>4</v>
      </c>
      <c r="H2" s="122" t="s">
        <v>5</v>
      </c>
      <c r="I2" s="127" t="s">
        <v>6</v>
      </c>
      <c r="J2" s="124" t="s">
        <v>7</v>
      </c>
      <c r="K2" s="122" t="s">
        <v>8</v>
      </c>
      <c r="L2" s="122" t="s">
        <v>9</v>
      </c>
    </row>
    <row r="3" spans="1:13" x14ac:dyDescent="0.3">
      <c r="A3" s="128">
        <v>1</v>
      </c>
      <c r="B3" s="129">
        <v>2</v>
      </c>
      <c r="C3" s="130">
        <v>3</v>
      </c>
      <c r="D3" s="131">
        <v>4</v>
      </c>
      <c r="E3" s="129">
        <v>5</v>
      </c>
      <c r="F3" s="132">
        <v>6</v>
      </c>
      <c r="G3" s="132">
        <v>7</v>
      </c>
      <c r="H3" s="129" t="s">
        <v>115</v>
      </c>
      <c r="I3" s="133">
        <v>9</v>
      </c>
      <c r="J3" s="131" t="s">
        <v>116</v>
      </c>
      <c r="K3" s="129" t="s">
        <v>117</v>
      </c>
      <c r="L3" s="129">
        <v>12</v>
      </c>
    </row>
    <row r="4" spans="1:13" s="2" customFormat="1" ht="31.5" customHeight="1" x14ac:dyDescent="0.3">
      <c r="A4" s="111" t="s">
        <v>11</v>
      </c>
      <c r="B4" s="112" t="s">
        <v>12</v>
      </c>
      <c r="C4" s="113"/>
      <c r="D4" s="114">
        <f>SUM(D5:D7)</f>
        <v>95</v>
      </c>
      <c r="E4" s="115"/>
      <c r="F4" s="116">
        <f>SUM(F5:F7)</f>
        <v>9798.5400000000009</v>
      </c>
      <c r="G4" s="116">
        <f>SUM(G5:G7)</f>
        <v>141.46</v>
      </c>
      <c r="H4" s="117">
        <f t="shared" ref="H4:H28" si="0">IF(F4=0,0,ROUND(F4/(F4+G4),4))</f>
        <v>0.98580000000000001</v>
      </c>
      <c r="I4" s="118">
        <f>SUM(I5:I7)</f>
        <v>39000</v>
      </c>
      <c r="J4" s="119">
        <f>SUM(J5:J7)</f>
        <v>38442.300000000003</v>
      </c>
      <c r="K4" s="118">
        <f>SUM(K5:K7)</f>
        <v>557.69999999999891</v>
      </c>
      <c r="L4" s="120"/>
    </row>
    <row r="5" spans="1:13" s="2" customFormat="1" ht="31.5" customHeight="1" x14ac:dyDescent="0.3">
      <c r="A5" s="102" t="s">
        <v>13</v>
      </c>
      <c r="B5" s="103" t="str">
        <f>'Atbalsta darbības'!A4</f>
        <v>Mēbeļu iegādes izmaksas ģimenes ārsta praksei I</v>
      </c>
      <c r="C5" s="104" t="s">
        <v>35</v>
      </c>
      <c r="D5" s="105">
        <f>'Ģimenes ārsta prakse'!D8</f>
        <v>40</v>
      </c>
      <c r="E5" s="106">
        <f>'Ģimenes ārsta prakse'!H8</f>
        <v>1996</v>
      </c>
      <c r="F5" s="107">
        <f>'Ģimenes ārsta prakse'!E8</f>
        <v>1969.67</v>
      </c>
      <c r="G5" s="107">
        <f>'Ģimenes ārsta prakse'!F8</f>
        <v>26.33</v>
      </c>
      <c r="H5" s="108">
        <f t="shared" ref="H5:H10" si="1">IF(F5=0,0,ROUND(F5/(F5+G5),4))</f>
        <v>0.98680000000000001</v>
      </c>
      <c r="I5" s="109">
        <f>'Atbalsta darbības'!B4</f>
        <v>8000</v>
      </c>
      <c r="J5" s="110">
        <f>IF(H5&gt;0,ROUND(H5*I5,2),0)</f>
        <v>7894.4</v>
      </c>
      <c r="K5" s="109">
        <f>I5-J5</f>
        <v>105.60000000000036</v>
      </c>
      <c r="L5" s="101"/>
    </row>
    <row r="6" spans="1:13" s="2" customFormat="1" ht="31.5" customHeight="1" x14ac:dyDescent="0.3">
      <c r="A6" s="102" t="s">
        <v>78</v>
      </c>
      <c r="B6" s="103" t="str">
        <f>'Atbalsta darbības'!A5</f>
        <v>Datortehnikas iegādes izmaksas ģimenes ārsta praksei II</v>
      </c>
      <c r="C6" s="104" t="s">
        <v>37</v>
      </c>
      <c r="D6" s="105">
        <f>'Ģimenes ārsta prakse'!D9</f>
        <v>25</v>
      </c>
      <c r="E6" s="106">
        <f>'Ģimenes ārsta prakse'!H9</f>
        <v>1982</v>
      </c>
      <c r="F6" s="107">
        <f>'Ģimenes ārsta prakse'!E9</f>
        <v>1951.04</v>
      </c>
      <c r="G6" s="107">
        <f>'Ģimenes ārsta prakse'!F9</f>
        <v>30.96</v>
      </c>
      <c r="H6" s="108">
        <f t="shared" si="1"/>
        <v>0.98440000000000005</v>
      </c>
      <c r="I6" s="109">
        <f>'Atbalsta darbības'!B5</f>
        <v>10000</v>
      </c>
      <c r="J6" s="110">
        <f>IF(H6&gt;0,ROUND(H6*I6,2),0)</f>
        <v>9844</v>
      </c>
      <c r="K6" s="109">
        <f t="shared" ref="K6:K10" si="2">I6-J6</f>
        <v>156</v>
      </c>
      <c r="L6" s="101"/>
    </row>
    <row r="7" spans="1:13" s="2" customFormat="1" ht="43.2" x14ac:dyDescent="0.3">
      <c r="A7" s="102" t="s">
        <v>79</v>
      </c>
      <c r="B7" s="103" t="str">
        <f>'Atbalsta darbības'!A6</f>
        <v>Aprīkojuma iegādes izmaksas ģimenes ārsta praksei I, II un III</v>
      </c>
      <c r="C7" s="104" t="s">
        <v>87</v>
      </c>
      <c r="D7" s="105">
        <f>SUM(D8:D10)</f>
        <v>30</v>
      </c>
      <c r="E7" s="106">
        <f>'Ģimenes ārsta prakse'!H29</f>
        <v>5962</v>
      </c>
      <c r="F7" s="107">
        <f>'Ģimenes ārsta prakse'!W29</f>
        <v>5877.83</v>
      </c>
      <c r="G7" s="107">
        <f>'Ģimenes ārsta prakse'!V29</f>
        <v>84.17</v>
      </c>
      <c r="H7" s="108">
        <f t="shared" si="1"/>
        <v>0.9859</v>
      </c>
      <c r="I7" s="109">
        <f>IF('Atbalsta darbības'!B6&gt;0,SUM(I8:I10),0)</f>
        <v>21000</v>
      </c>
      <c r="J7" s="110">
        <f>IF(H7&gt;0,ROUND(H7*I7,2),0)</f>
        <v>20703.900000000001</v>
      </c>
      <c r="K7" s="109">
        <f t="shared" si="2"/>
        <v>296.09999999999854</v>
      </c>
      <c r="L7" s="101"/>
      <c r="M7" s="82"/>
    </row>
    <row r="8" spans="1:13" s="2" customFormat="1" ht="28.8" outlineLevel="1" x14ac:dyDescent="0.3">
      <c r="A8" s="42" t="s">
        <v>88</v>
      </c>
      <c r="B8" s="40" t="s">
        <v>91</v>
      </c>
      <c r="C8" s="99" t="s">
        <v>35</v>
      </c>
      <c r="D8" s="17">
        <v>10</v>
      </c>
      <c r="E8" s="18">
        <f>'Ģimenes ārsta prakse'!H29</f>
        <v>5962</v>
      </c>
      <c r="F8" s="100">
        <f>'Ģimenes ārsta prakse'!E29</f>
        <v>5877.83</v>
      </c>
      <c r="G8" s="100">
        <f>'Ģimenes ārsta prakse'!F29</f>
        <v>84.17</v>
      </c>
      <c r="H8" s="41">
        <f t="shared" si="1"/>
        <v>0.9859</v>
      </c>
      <c r="I8" s="16">
        <f>'Atbalsta darbības'!B6/COUNTA(C8:C10)</f>
        <v>7000</v>
      </c>
      <c r="J8" s="16">
        <f t="shared" ref="J8:J10" si="3">IF(H8&gt;0,ROUND(H8*I8,2),0)</f>
        <v>6901.3</v>
      </c>
      <c r="K8" s="20">
        <f t="shared" si="2"/>
        <v>98.699999999999818</v>
      </c>
      <c r="L8" s="15"/>
      <c r="M8" s="82"/>
    </row>
    <row r="9" spans="1:13" s="2" customFormat="1" ht="28.8" outlineLevel="1" x14ac:dyDescent="0.3">
      <c r="A9" s="42" t="s">
        <v>89</v>
      </c>
      <c r="B9" s="40" t="s">
        <v>92</v>
      </c>
      <c r="C9" s="99" t="s">
        <v>37</v>
      </c>
      <c r="D9" s="17">
        <v>10</v>
      </c>
      <c r="E9" s="18">
        <f>'Ģimenes ārsta prakse'!H29</f>
        <v>5962</v>
      </c>
      <c r="F9" s="100">
        <f>'Ģimenes ārsta prakse'!E29</f>
        <v>5877.83</v>
      </c>
      <c r="G9" s="100">
        <f>'Ģimenes ārsta prakse'!F29</f>
        <v>84.17</v>
      </c>
      <c r="H9" s="41">
        <f t="shared" si="1"/>
        <v>0.9859</v>
      </c>
      <c r="I9" s="16">
        <f>'Atbalsta darbības'!B6/COUNTA(C8:C10)</f>
        <v>7000</v>
      </c>
      <c r="J9" s="16">
        <f t="shared" si="3"/>
        <v>6901.3</v>
      </c>
      <c r="K9" s="20">
        <f t="shared" si="2"/>
        <v>98.699999999999818</v>
      </c>
      <c r="L9" s="15"/>
      <c r="M9" s="82"/>
    </row>
    <row r="10" spans="1:13" s="2" customFormat="1" ht="28.8" outlineLevel="1" x14ac:dyDescent="0.3">
      <c r="A10" s="42" t="s">
        <v>90</v>
      </c>
      <c r="B10" s="40" t="s">
        <v>93</v>
      </c>
      <c r="C10" s="99" t="s">
        <v>38</v>
      </c>
      <c r="D10" s="17">
        <v>10</v>
      </c>
      <c r="E10" s="18">
        <f>'Ģimenes ārsta prakse'!H29</f>
        <v>5962</v>
      </c>
      <c r="F10" s="100">
        <f>'Ģimenes ārsta prakse'!E29</f>
        <v>5877.83</v>
      </c>
      <c r="G10" s="100">
        <f>'Ģimenes ārsta prakse'!F29</f>
        <v>84.17</v>
      </c>
      <c r="H10" s="41">
        <f t="shared" si="1"/>
        <v>0.9859</v>
      </c>
      <c r="I10" s="16">
        <f>'Atbalsta darbības'!B6/COUNTA(C8:C10)</f>
        <v>7000</v>
      </c>
      <c r="J10" s="16">
        <f t="shared" si="3"/>
        <v>6901.3</v>
      </c>
      <c r="K10" s="20">
        <f t="shared" si="2"/>
        <v>98.699999999999818</v>
      </c>
      <c r="L10" s="15"/>
      <c r="M10" s="82"/>
    </row>
    <row r="11" spans="1:13" s="2" customFormat="1" ht="31.5" customHeight="1" x14ac:dyDescent="0.3">
      <c r="A11" s="111" t="s">
        <v>14</v>
      </c>
      <c r="B11" s="112" t="s">
        <v>82</v>
      </c>
      <c r="C11" s="113"/>
      <c r="D11" s="114">
        <v>30</v>
      </c>
      <c r="E11" s="115"/>
      <c r="F11" s="114">
        <f>'Ģimenes ārsta prakse'!E29</f>
        <v>5877.83</v>
      </c>
      <c r="G11" s="114">
        <f>'Ģimenes ārsta prakse'!F29</f>
        <v>84.17</v>
      </c>
      <c r="H11" s="117">
        <f>IF(F11=0,0,ROUND(F11/(F11+G11),4))</f>
        <v>0.9859</v>
      </c>
      <c r="I11" s="118">
        <f>SUM(I12,I16,I20)</f>
        <v>6900</v>
      </c>
      <c r="J11" s="119">
        <f>SUM(J12,J16,J20)</f>
        <v>6802.71</v>
      </c>
      <c r="K11" s="118">
        <f>SUM(K12,K16,K20)</f>
        <v>97.290000000000418</v>
      </c>
      <c r="L11" s="120"/>
    </row>
    <row r="12" spans="1:13" s="2" customFormat="1" ht="43.2" x14ac:dyDescent="0.3">
      <c r="A12" s="102" t="s">
        <v>77</v>
      </c>
      <c r="B12" s="103" t="str">
        <f>'Atbalsta darbības'!A7</f>
        <v>Tehniskā projekta izstrāde attīstāmajai infrakstruktūrai, kuru izmanto ģimenes ārsta prakse I, II un III</v>
      </c>
      <c r="C12" s="104" t="s">
        <v>87</v>
      </c>
      <c r="D12" s="105">
        <f>SUM(D13:D15)</f>
        <v>30</v>
      </c>
      <c r="E12" s="106">
        <f>'Ģimenes ārsta prakse'!H29</f>
        <v>5962</v>
      </c>
      <c r="F12" s="107">
        <f>'Ģimenes ārsta prakse'!W29</f>
        <v>5877.83</v>
      </c>
      <c r="G12" s="107">
        <f>'Ģimenes ārsta prakse'!V29</f>
        <v>84.17</v>
      </c>
      <c r="H12" s="108">
        <f t="shared" ref="H12:H23" si="4">IF(F12=0,0,ROUND(F12/(F12+G12),4))</f>
        <v>0.9859</v>
      </c>
      <c r="I12" s="109">
        <f>'Atbalsta darbības'!B7</f>
        <v>300</v>
      </c>
      <c r="J12" s="110">
        <f>IF(H12&gt;0,ROUND(H12*I12,2),0)</f>
        <v>295.77</v>
      </c>
      <c r="K12" s="109">
        <f>I12-J12</f>
        <v>4.2300000000000182</v>
      </c>
      <c r="L12" s="101"/>
    </row>
    <row r="13" spans="1:13" s="2" customFormat="1" ht="30" customHeight="1" outlineLevel="1" x14ac:dyDescent="0.3">
      <c r="A13" s="42" t="s">
        <v>83</v>
      </c>
      <c r="B13" s="40" t="s">
        <v>100</v>
      </c>
      <c r="C13" s="99" t="s">
        <v>35</v>
      </c>
      <c r="D13" s="17">
        <v>10</v>
      </c>
      <c r="E13" s="18">
        <f>'Ģimenes ārsta prakse'!H29</f>
        <v>5962</v>
      </c>
      <c r="F13" s="19">
        <f>'Ģimenes ārsta prakse'!E29</f>
        <v>5877.83</v>
      </c>
      <c r="G13" s="19">
        <f>'Ģimenes ārsta prakse'!F29</f>
        <v>84.17</v>
      </c>
      <c r="H13" s="41">
        <f t="shared" si="4"/>
        <v>0.9859</v>
      </c>
      <c r="I13" s="20">
        <f>'Atbalsta darbības'!B7/COUNTA(C13:C15)</f>
        <v>100</v>
      </c>
      <c r="J13" s="16">
        <f t="shared" ref="J13:J15" si="5">IF(H13&gt;0,ROUND(H13*I13,2),0)</f>
        <v>98.59</v>
      </c>
      <c r="K13" s="20">
        <f t="shared" ref="K13:K15" si="6">I13-J13</f>
        <v>1.4099999999999966</v>
      </c>
      <c r="L13" s="15"/>
    </row>
    <row r="14" spans="1:13" s="2" customFormat="1" ht="30" customHeight="1" outlineLevel="1" x14ac:dyDescent="0.3">
      <c r="A14" s="42" t="s">
        <v>84</v>
      </c>
      <c r="B14" s="40" t="s">
        <v>101</v>
      </c>
      <c r="C14" s="99" t="s">
        <v>37</v>
      </c>
      <c r="D14" s="17">
        <v>10</v>
      </c>
      <c r="E14" s="18">
        <f>'Ģimenes ārsta prakse'!H29</f>
        <v>5962</v>
      </c>
      <c r="F14" s="19">
        <f>'Ģimenes ārsta prakse'!E29</f>
        <v>5877.83</v>
      </c>
      <c r="G14" s="19">
        <f>'Ģimenes ārsta prakse'!F29</f>
        <v>84.17</v>
      </c>
      <c r="H14" s="41">
        <f t="shared" si="4"/>
        <v>0.9859</v>
      </c>
      <c r="I14" s="20">
        <f>'Atbalsta darbības'!B7/COUNTA(C13:C15)</f>
        <v>100</v>
      </c>
      <c r="J14" s="16">
        <f t="shared" si="5"/>
        <v>98.59</v>
      </c>
      <c r="K14" s="20">
        <f t="shared" si="6"/>
        <v>1.4099999999999966</v>
      </c>
      <c r="L14" s="15"/>
    </row>
    <row r="15" spans="1:13" s="2" customFormat="1" ht="30" customHeight="1" outlineLevel="1" x14ac:dyDescent="0.3">
      <c r="A15" s="42" t="s">
        <v>85</v>
      </c>
      <c r="B15" s="40" t="s">
        <v>102</v>
      </c>
      <c r="C15" s="99" t="s">
        <v>38</v>
      </c>
      <c r="D15" s="17">
        <v>10</v>
      </c>
      <c r="E15" s="18">
        <f>'Ģimenes ārsta prakse'!H29</f>
        <v>5962</v>
      </c>
      <c r="F15" s="19">
        <f>'Ģimenes ārsta prakse'!E29</f>
        <v>5877.83</v>
      </c>
      <c r="G15" s="19">
        <f>'Ģimenes ārsta prakse'!F29</f>
        <v>84.17</v>
      </c>
      <c r="H15" s="41">
        <f t="shared" si="4"/>
        <v>0.9859</v>
      </c>
      <c r="I15" s="20">
        <f>'Atbalsta darbības'!B7/COUNTA(C13:C15)</f>
        <v>100</v>
      </c>
      <c r="J15" s="16">
        <f t="shared" si="5"/>
        <v>98.59</v>
      </c>
      <c r="K15" s="20">
        <f t="shared" si="6"/>
        <v>1.4099999999999966</v>
      </c>
      <c r="L15" s="15"/>
    </row>
    <row r="16" spans="1:13" s="2" customFormat="1" ht="43.2" x14ac:dyDescent="0.3">
      <c r="A16" s="102" t="s">
        <v>80</v>
      </c>
      <c r="B16" s="103" t="str">
        <f>'Atbalsta darbības'!A8</f>
        <v>Iekšējās renovācijas darbi attīstāmajai infrakstruktūrai, kuru izmanto ģimenes ārsta prakse I, II un III</v>
      </c>
      <c r="C16" s="104" t="s">
        <v>87</v>
      </c>
      <c r="D16" s="105">
        <f>SUM(D17:D19)</f>
        <v>30</v>
      </c>
      <c r="E16" s="106">
        <f>'Ģimenes ārsta prakse'!H29</f>
        <v>5962</v>
      </c>
      <c r="F16" s="107">
        <f>'Ģimenes ārsta prakse'!W29</f>
        <v>5877.83</v>
      </c>
      <c r="G16" s="107">
        <f>'Ģimenes ārsta prakse'!V29</f>
        <v>84.17</v>
      </c>
      <c r="H16" s="108">
        <f t="shared" si="4"/>
        <v>0.9859</v>
      </c>
      <c r="I16" s="109">
        <f>'Atbalsta darbības'!B8</f>
        <v>6000</v>
      </c>
      <c r="J16" s="110">
        <f>IF(H16&gt;0,ROUND(H16*I16,2),0)</f>
        <v>5915.4</v>
      </c>
      <c r="K16" s="109">
        <f t="shared" ref="K16:K20" si="7">I16-J16</f>
        <v>84.600000000000364</v>
      </c>
      <c r="L16" s="101"/>
    </row>
    <row r="17" spans="1:42" s="2" customFormat="1" ht="30" customHeight="1" outlineLevel="1" x14ac:dyDescent="0.3">
      <c r="A17" s="152" t="s">
        <v>94</v>
      </c>
      <c r="B17" s="153" t="s">
        <v>103</v>
      </c>
      <c r="C17" s="99" t="s">
        <v>35</v>
      </c>
      <c r="D17" s="17">
        <v>10</v>
      </c>
      <c r="E17" s="154">
        <f>'Ģimenes ārsta prakse'!H29</f>
        <v>5962</v>
      </c>
      <c r="F17" s="155">
        <f>'Ģimenes ārsta prakse'!E29</f>
        <v>5877.83</v>
      </c>
      <c r="G17" s="155">
        <f>'Ģimenes ārsta prakse'!F29</f>
        <v>84.17</v>
      </c>
      <c r="H17" s="41">
        <f t="shared" si="4"/>
        <v>0.9859</v>
      </c>
      <c r="I17" s="20">
        <f>'Atbalsta darbības'!B8/COUNTA(C17:C19)</f>
        <v>2000</v>
      </c>
      <c r="J17" s="16">
        <f t="shared" ref="J17:J19" si="8">IF(H17&gt;0,ROUND(H17*I17,2),0)</f>
        <v>1971.8</v>
      </c>
      <c r="K17" s="20">
        <f t="shared" si="7"/>
        <v>28.200000000000045</v>
      </c>
      <c r="L17" s="156"/>
    </row>
    <row r="18" spans="1:42" s="2" customFormat="1" ht="30" customHeight="1" outlineLevel="1" x14ac:dyDescent="0.3">
      <c r="A18" s="152" t="s">
        <v>95</v>
      </c>
      <c r="B18" s="153" t="s">
        <v>104</v>
      </c>
      <c r="C18" s="99" t="s">
        <v>37</v>
      </c>
      <c r="D18" s="17">
        <v>10</v>
      </c>
      <c r="E18" s="154">
        <f>'Ģimenes ārsta prakse'!H29</f>
        <v>5962</v>
      </c>
      <c r="F18" s="155">
        <f>'Ģimenes ārsta prakse'!E29</f>
        <v>5877.83</v>
      </c>
      <c r="G18" s="155">
        <f>'Ģimenes ārsta prakse'!F29</f>
        <v>84.17</v>
      </c>
      <c r="H18" s="41">
        <f t="shared" si="4"/>
        <v>0.9859</v>
      </c>
      <c r="I18" s="20">
        <f>'Atbalsta darbības'!B8/COUNTA(C17:C19)</f>
        <v>2000</v>
      </c>
      <c r="J18" s="16">
        <f t="shared" si="8"/>
        <v>1971.8</v>
      </c>
      <c r="K18" s="20">
        <f t="shared" si="7"/>
        <v>28.200000000000045</v>
      </c>
      <c r="L18" s="156"/>
    </row>
    <row r="19" spans="1:42" s="2" customFormat="1" ht="30" customHeight="1" outlineLevel="1" x14ac:dyDescent="0.3">
      <c r="A19" s="152" t="s">
        <v>96</v>
      </c>
      <c r="B19" s="153" t="s">
        <v>105</v>
      </c>
      <c r="C19" s="99" t="s">
        <v>38</v>
      </c>
      <c r="D19" s="17">
        <v>10</v>
      </c>
      <c r="E19" s="154">
        <f>'Ģimenes ārsta prakse'!H29</f>
        <v>5962</v>
      </c>
      <c r="F19" s="155">
        <f>'Ģimenes ārsta prakse'!E29</f>
        <v>5877.83</v>
      </c>
      <c r="G19" s="155">
        <f>'Ģimenes ārsta prakse'!F29</f>
        <v>84.17</v>
      </c>
      <c r="H19" s="41">
        <f t="shared" si="4"/>
        <v>0.9859</v>
      </c>
      <c r="I19" s="20">
        <f>'Atbalsta darbības'!B8/COUNTA(C17:C19)</f>
        <v>2000</v>
      </c>
      <c r="J19" s="16">
        <f t="shared" si="8"/>
        <v>1971.8</v>
      </c>
      <c r="K19" s="20">
        <f t="shared" si="7"/>
        <v>28.200000000000045</v>
      </c>
      <c r="L19" s="156"/>
    </row>
    <row r="20" spans="1:42" s="2" customFormat="1" ht="43.2" x14ac:dyDescent="0.3">
      <c r="A20" s="102" t="s">
        <v>81</v>
      </c>
      <c r="B20" s="103" t="str">
        <f>'Atbalsta darbības'!A9</f>
        <v>Būvuzraudzība attīstāmajai infrakstruktūrai, kuru izmanto ģimenes ārsta prakse I, II un III</v>
      </c>
      <c r="C20" s="104" t="s">
        <v>87</v>
      </c>
      <c r="D20" s="105">
        <f>SUM(D21:D23)</f>
        <v>30</v>
      </c>
      <c r="E20" s="106">
        <f>'Ģimenes ārsta prakse'!H29</f>
        <v>5962</v>
      </c>
      <c r="F20" s="107">
        <f>'Ģimenes ārsta prakse'!W29</f>
        <v>5877.83</v>
      </c>
      <c r="G20" s="107">
        <f>'Ģimenes ārsta prakse'!V29</f>
        <v>84.17</v>
      </c>
      <c r="H20" s="108">
        <f t="shared" si="4"/>
        <v>0.9859</v>
      </c>
      <c r="I20" s="109">
        <f>'Atbalsta darbības'!B9</f>
        <v>600</v>
      </c>
      <c r="J20" s="110">
        <f>IF(H20&gt;0,ROUND(H20*I20,2),0)</f>
        <v>591.54</v>
      </c>
      <c r="K20" s="109">
        <f t="shared" si="7"/>
        <v>8.4600000000000364</v>
      </c>
      <c r="L20" s="101"/>
      <c r="M20" s="82"/>
    </row>
    <row r="21" spans="1:42" s="2" customFormat="1" ht="28.8" outlineLevel="1" x14ac:dyDescent="0.3">
      <c r="A21" s="152" t="s">
        <v>97</v>
      </c>
      <c r="B21" s="153" t="s">
        <v>106</v>
      </c>
      <c r="C21" s="99" t="s">
        <v>35</v>
      </c>
      <c r="D21" s="17">
        <v>10</v>
      </c>
      <c r="E21" s="154">
        <f>'Ģimenes ārsta prakse'!H29</f>
        <v>5962</v>
      </c>
      <c r="F21" s="155">
        <f>'Ģimenes ārsta prakse'!E29</f>
        <v>5877.83</v>
      </c>
      <c r="G21" s="155">
        <f>'Ģimenes ārsta prakse'!F29</f>
        <v>84.17</v>
      </c>
      <c r="H21" s="41">
        <f t="shared" si="4"/>
        <v>0.9859</v>
      </c>
      <c r="I21" s="20">
        <f>'Atbalsta darbības'!B9/COUNTA(C21:C23)</f>
        <v>200</v>
      </c>
      <c r="J21" s="16">
        <f t="shared" ref="J21:J23" si="9">IF(H21&gt;0,ROUND(H21*I21,2),0)</f>
        <v>197.18</v>
      </c>
      <c r="K21" s="20">
        <f t="shared" ref="K21:K23" si="10">I21-J21</f>
        <v>2.8199999999999932</v>
      </c>
      <c r="L21" s="156"/>
      <c r="M21" s="82"/>
    </row>
    <row r="22" spans="1:42" s="2" customFormat="1" ht="28.8" outlineLevel="1" x14ac:dyDescent="0.3">
      <c r="A22" s="152" t="s">
        <v>98</v>
      </c>
      <c r="B22" s="153" t="s">
        <v>107</v>
      </c>
      <c r="C22" s="99" t="s">
        <v>37</v>
      </c>
      <c r="D22" s="17">
        <v>10</v>
      </c>
      <c r="E22" s="154">
        <f>'Ģimenes ārsta prakse'!H29</f>
        <v>5962</v>
      </c>
      <c r="F22" s="155">
        <f>'Ģimenes ārsta prakse'!E29</f>
        <v>5877.83</v>
      </c>
      <c r="G22" s="155">
        <f>'Ģimenes ārsta prakse'!F29</f>
        <v>84.17</v>
      </c>
      <c r="H22" s="41">
        <f t="shared" si="4"/>
        <v>0.9859</v>
      </c>
      <c r="I22" s="20">
        <f>'Atbalsta darbības'!B9/COUNTA(C21:C23)</f>
        <v>200</v>
      </c>
      <c r="J22" s="16">
        <f t="shared" si="9"/>
        <v>197.18</v>
      </c>
      <c r="K22" s="20">
        <f t="shared" si="10"/>
        <v>2.8199999999999932</v>
      </c>
      <c r="L22" s="156"/>
      <c r="M22" s="82"/>
    </row>
    <row r="23" spans="1:42" s="2" customFormat="1" ht="28.8" outlineLevel="1" x14ac:dyDescent="0.3">
      <c r="A23" s="152" t="s">
        <v>99</v>
      </c>
      <c r="B23" s="153" t="s">
        <v>108</v>
      </c>
      <c r="C23" s="99" t="s">
        <v>38</v>
      </c>
      <c r="D23" s="17">
        <v>10</v>
      </c>
      <c r="E23" s="154">
        <f>'Ģimenes ārsta prakse'!H29</f>
        <v>5962</v>
      </c>
      <c r="F23" s="155">
        <f>'Ģimenes ārsta prakse'!E29</f>
        <v>5877.83</v>
      </c>
      <c r="G23" s="155">
        <f>'Ģimenes ārsta prakse'!F29</f>
        <v>84.17</v>
      </c>
      <c r="H23" s="41">
        <f t="shared" si="4"/>
        <v>0.9859</v>
      </c>
      <c r="I23" s="20">
        <f>'Atbalsta darbības'!B9/COUNTA(C21:C23)</f>
        <v>200</v>
      </c>
      <c r="J23" s="16">
        <f t="shared" si="9"/>
        <v>197.18</v>
      </c>
      <c r="K23" s="20">
        <f t="shared" si="10"/>
        <v>2.8199999999999932</v>
      </c>
      <c r="L23" s="156"/>
      <c r="M23" s="82"/>
    </row>
    <row r="24" spans="1:42" s="2" customFormat="1" ht="31.5" customHeight="1" x14ac:dyDescent="0.3">
      <c r="A24" s="111" t="s">
        <v>16</v>
      </c>
      <c r="B24" s="112" t="s">
        <v>57</v>
      </c>
      <c r="C24" s="113"/>
      <c r="D24" s="114">
        <f>SUM(D25:D25)</f>
        <v>0</v>
      </c>
      <c r="E24" s="115"/>
      <c r="F24" s="134">
        <f>SUM(F25:F25)</f>
        <v>5877.83</v>
      </c>
      <c r="G24" s="134">
        <f>SUM(G25:G25)</f>
        <v>84.17</v>
      </c>
      <c r="H24" s="117">
        <f t="shared" si="0"/>
        <v>0.9859</v>
      </c>
      <c r="I24" s="118">
        <f>SUM(I25:I25)</f>
        <v>4500</v>
      </c>
      <c r="J24" s="119">
        <f>SUM(J25:J25)</f>
        <v>4436.55</v>
      </c>
      <c r="K24" s="118">
        <f>SUM(K25:K25)</f>
        <v>63.449999999999818</v>
      </c>
      <c r="L24" s="120"/>
    </row>
    <row r="25" spans="1:42" s="21" customFormat="1" ht="41.25" customHeight="1" x14ac:dyDescent="0.3">
      <c r="A25" s="143">
        <v>3.1</v>
      </c>
      <c r="B25" s="144" t="str">
        <f>'Atbalsta darbības'!A10</f>
        <v>Projekta vadības personāla izmaksas</v>
      </c>
      <c r="C25" s="104" t="s">
        <v>87</v>
      </c>
      <c r="D25" s="146"/>
      <c r="E25" s="106">
        <f>'Ģimenes ārsta prakse'!H29</f>
        <v>5962</v>
      </c>
      <c r="F25" s="147">
        <f>'Ģimenes ārsta prakse'!W29</f>
        <v>5877.83</v>
      </c>
      <c r="G25" s="147">
        <f>'Ģimenes ārsta prakse'!V29</f>
        <v>84.17</v>
      </c>
      <c r="H25" s="148">
        <f t="shared" si="0"/>
        <v>0.9859</v>
      </c>
      <c r="I25" s="109">
        <f>'Atbalsta darbības'!B10</f>
        <v>4500</v>
      </c>
      <c r="J25" s="110">
        <f>IF(H25&gt;0,ROUND(H25*I25,2),0)</f>
        <v>4436.55</v>
      </c>
      <c r="K25" s="109">
        <f t="shared" ref="K25:K28" si="11">I25-J25</f>
        <v>63.449999999999818</v>
      </c>
      <c r="L25" s="109"/>
      <c r="AP25" s="21" t="s">
        <v>15</v>
      </c>
    </row>
    <row r="26" spans="1:42" s="21" customFormat="1" ht="31.5" customHeight="1" outlineLevel="1" x14ac:dyDescent="0.3">
      <c r="A26" s="152" t="s">
        <v>112</v>
      </c>
      <c r="B26" s="153" t="s">
        <v>109</v>
      </c>
      <c r="C26" s="99" t="s">
        <v>35</v>
      </c>
      <c r="D26" s="157"/>
      <c r="E26" s="154">
        <f>'Ģimenes ārsta prakse'!H29</f>
        <v>5962</v>
      </c>
      <c r="F26" s="158">
        <f>'Ģimenes ārsta prakse'!E29</f>
        <v>5877.83</v>
      </c>
      <c r="G26" s="158">
        <f>'Ģimenes ārsta prakse'!F29</f>
        <v>84.17</v>
      </c>
      <c r="H26" s="159">
        <f t="shared" si="0"/>
        <v>0.9859</v>
      </c>
      <c r="I26" s="20">
        <f>'Atbalsta darbības'!B10/COUNTA(C26:C28)</f>
        <v>1500</v>
      </c>
      <c r="J26" s="16">
        <f t="shared" ref="J26:J28" si="12">IF(H26&gt;0,ROUND(H26*I26,2),0)</f>
        <v>1478.85</v>
      </c>
      <c r="K26" s="20">
        <f t="shared" si="11"/>
        <v>21.150000000000091</v>
      </c>
      <c r="L26" s="160"/>
    </row>
    <row r="27" spans="1:42" s="21" customFormat="1" ht="31.5" customHeight="1" outlineLevel="1" x14ac:dyDescent="0.3">
      <c r="A27" s="152" t="s">
        <v>113</v>
      </c>
      <c r="B27" s="153" t="s">
        <v>110</v>
      </c>
      <c r="C27" s="99" t="s">
        <v>37</v>
      </c>
      <c r="D27" s="157"/>
      <c r="E27" s="154">
        <f>'Ģimenes ārsta prakse'!H29</f>
        <v>5962</v>
      </c>
      <c r="F27" s="158">
        <f>'Ģimenes ārsta prakse'!E29</f>
        <v>5877.83</v>
      </c>
      <c r="G27" s="158">
        <f>'Ģimenes ārsta prakse'!F29</f>
        <v>84.17</v>
      </c>
      <c r="H27" s="159">
        <f t="shared" si="0"/>
        <v>0.9859</v>
      </c>
      <c r="I27" s="20">
        <f>'Atbalsta darbības'!B10/COUNTA(C26:C28)</f>
        <v>1500</v>
      </c>
      <c r="J27" s="16">
        <f t="shared" si="12"/>
        <v>1478.85</v>
      </c>
      <c r="K27" s="20">
        <f t="shared" si="11"/>
        <v>21.150000000000091</v>
      </c>
      <c r="L27" s="160"/>
    </row>
    <row r="28" spans="1:42" s="21" customFormat="1" ht="31.5" customHeight="1" outlineLevel="1" x14ac:dyDescent="0.3">
      <c r="A28" s="152" t="s">
        <v>114</v>
      </c>
      <c r="B28" s="153" t="s">
        <v>111</v>
      </c>
      <c r="C28" s="99" t="s">
        <v>38</v>
      </c>
      <c r="D28" s="157"/>
      <c r="E28" s="154">
        <f>'Ģimenes ārsta prakse'!H29</f>
        <v>5962</v>
      </c>
      <c r="F28" s="158">
        <f>'Ģimenes ārsta prakse'!E29</f>
        <v>5877.83</v>
      </c>
      <c r="G28" s="158">
        <f>'Ģimenes ārsta prakse'!F29</f>
        <v>84.17</v>
      </c>
      <c r="H28" s="159">
        <f t="shared" si="0"/>
        <v>0.9859</v>
      </c>
      <c r="I28" s="20">
        <f>'Atbalsta darbības'!B10/COUNTA(C26:C28)</f>
        <v>1500</v>
      </c>
      <c r="J28" s="16">
        <f t="shared" si="12"/>
        <v>1478.85</v>
      </c>
      <c r="K28" s="20">
        <f t="shared" si="11"/>
        <v>21.150000000000091</v>
      </c>
      <c r="L28" s="160"/>
    </row>
    <row r="29" spans="1:42" s="21" customFormat="1" ht="31.5" customHeight="1" x14ac:dyDescent="0.3">
      <c r="A29" s="111" t="s">
        <v>76</v>
      </c>
      <c r="B29" s="112" t="s">
        <v>17</v>
      </c>
      <c r="C29" s="113"/>
      <c r="D29" s="114">
        <f>SUM(D30:D30)</f>
        <v>0</v>
      </c>
      <c r="E29" s="115"/>
      <c r="F29" s="134">
        <f>SUM(F30:F30)</f>
        <v>0</v>
      </c>
      <c r="G29" s="134">
        <f>SUM(G30:G30)</f>
        <v>0</v>
      </c>
      <c r="H29" s="117">
        <v>1</v>
      </c>
      <c r="I29" s="118">
        <f>SUM(I30:I30)</f>
        <v>20</v>
      </c>
      <c r="J29" s="119">
        <f>SUM(J30:J30)</f>
        <v>20</v>
      </c>
      <c r="K29" s="118">
        <f>SUM(K30:K30)</f>
        <v>0</v>
      </c>
      <c r="L29" s="120"/>
    </row>
    <row r="30" spans="1:42" s="21" customFormat="1" ht="31.5" customHeight="1" thickBot="1" x14ac:dyDescent="0.35">
      <c r="A30" s="143">
        <v>4.0999999999999996</v>
      </c>
      <c r="B30" s="144" t="s">
        <v>18</v>
      </c>
      <c r="C30" s="145"/>
      <c r="D30" s="146"/>
      <c r="E30" s="149"/>
      <c r="F30" s="146"/>
      <c r="G30" s="150"/>
      <c r="H30" s="151"/>
      <c r="I30" s="109">
        <v>20</v>
      </c>
      <c r="J30" s="110">
        <f>I30</f>
        <v>20</v>
      </c>
      <c r="K30" s="109">
        <f t="shared" ref="K30" si="13">I30-J30</f>
        <v>0</v>
      </c>
      <c r="L30" s="109"/>
    </row>
    <row r="31" spans="1:42" s="4" customFormat="1" ht="31.5" customHeight="1" thickBot="1" x14ac:dyDescent="0.35">
      <c r="A31" s="135"/>
      <c r="B31" s="136" t="s">
        <v>19</v>
      </c>
      <c r="C31" s="137"/>
      <c r="D31" s="138"/>
      <c r="E31" s="139"/>
      <c r="F31" s="140"/>
      <c r="G31" s="140"/>
      <c r="H31" s="141"/>
      <c r="I31" s="142">
        <f>I4+I11+I24+I29</f>
        <v>50420</v>
      </c>
      <c r="J31" s="142">
        <f>J4+J11+J24+J29</f>
        <v>49701.560000000005</v>
      </c>
      <c r="K31" s="142">
        <f>K4+K11+K24+K29</f>
        <v>718.43999999999915</v>
      </c>
      <c r="L31" s="142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55078125" right="0.5859375" top="1.13671875" bottom="0.32" header="0.48" footer="0.31496062992125984"/>
  <pageSetup paperSize="9" scale="66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Normal="100" zoomScaleSheetLayoutView="100" workbookViewId="0">
      <selection activeCell="H3" sqref="H3:T4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2" t="s">
        <v>20</v>
      </c>
      <c r="B1" s="182"/>
      <c r="C1" s="182"/>
      <c r="D1" s="182"/>
      <c r="E1" s="182"/>
      <c r="F1" s="182"/>
      <c r="G1" s="182"/>
    </row>
    <row r="2" spans="1:24" ht="97.5" customHeight="1" thickBot="1" x14ac:dyDescent="0.35">
      <c r="A2" s="183"/>
      <c r="B2" s="183"/>
      <c r="C2" s="183"/>
      <c r="D2" s="183"/>
      <c r="E2" s="183"/>
      <c r="F2" s="183"/>
      <c r="G2" s="183"/>
      <c r="H2" s="167" t="s">
        <v>118</v>
      </c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9"/>
      <c r="U2" s="35" t="s">
        <v>21</v>
      </c>
      <c r="V2" s="36"/>
      <c r="W2" s="36"/>
      <c r="X2" s="36"/>
    </row>
    <row r="3" spans="1:24" ht="15" customHeight="1" x14ac:dyDescent="0.3">
      <c r="A3" s="184" t="s">
        <v>22</v>
      </c>
      <c r="B3" s="184" t="s">
        <v>71</v>
      </c>
      <c r="C3" s="184" t="s">
        <v>23</v>
      </c>
      <c r="D3" s="184" t="s">
        <v>24</v>
      </c>
      <c r="E3" s="184" t="s">
        <v>25</v>
      </c>
      <c r="F3" s="184" t="s">
        <v>26</v>
      </c>
      <c r="G3" s="187" t="s">
        <v>27</v>
      </c>
      <c r="H3" s="170" t="s">
        <v>28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1"/>
      <c r="U3" s="174" t="s">
        <v>29</v>
      </c>
      <c r="V3" s="190" t="s">
        <v>30</v>
      </c>
      <c r="W3" s="174" t="s">
        <v>31</v>
      </c>
      <c r="X3" s="174" t="s">
        <v>32</v>
      </c>
    </row>
    <row r="4" spans="1:24" ht="57" customHeight="1" x14ac:dyDescent="0.3">
      <c r="A4" s="185"/>
      <c r="B4" s="185"/>
      <c r="C4" s="185"/>
      <c r="D4" s="185"/>
      <c r="E4" s="185"/>
      <c r="F4" s="185"/>
      <c r="G4" s="188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  <c r="U4" s="175"/>
      <c r="V4" s="191"/>
      <c r="W4" s="175"/>
      <c r="X4" s="175"/>
    </row>
    <row r="5" spans="1:24" ht="33.75" customHeight="1" x14ac:dyDescent="0.3">
      <c r="A5" s="185"/>
      <c r="B5" s="185"/>
      <c r="C5" s="185"/>
      <c r="D5" s="185"/>
      <c r="E5" s="185"/>
      <c r="F5" s="185"/>
      <c r="G5" s="188"/>
      <c r="H5" s="53" t="s">
        <v>33</v>
      </c>
      <c r="I5" s="177" t="s">
        <v>34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U5" s="175"/>
      <c r="V5" s="191"/>
      <c r="W5" s="175"/>
      <c r="X5" s="175"/>
    </row>
    <row r="6" spans="1:24" ht="32.25" customHeight="1" thickBot="1" x14ac:dyDescent="0.35">
      <c r="A6" s="186"/>
      <c r="B6" s="186"/>
      <c r="C6" s="186"/>
      <c r="D6" s="186"/>
      <c r="E6" s="186"/>
      <c r="F6" s="186"/>
      <c r="G6" s="189"/>
      <c r="H6" s="55"/>
      <c r="I6" s="37">
        <v>45292</v>
      </c>
      <c r="J6" s="37">
        <v>45323</v>
      </c>
      <c r="K6" s="37">
        <v>45352</v>
      </c>
      <c r="L6" s="37">
        <v>45383</v>
      </c>
      <c r="M6" s="37">
        <v>45413</v>
      </c>
      <c r="N6" s="37">
        <v>45444</v>
      </c>
      <c r="O6" s="37">
        <v>45474</v>
      </c>
      <c r="P6" s="37">
        <v>45505</v>
      </c>
      <c r="Q6" s="37">
        <v>45536</v>
      </c>
      <c r="R6" s="37">
        <v>45566</v>
      </c>
      <c r="S6" s="37">
        <v>45597</v>
      </c>
      <c r="T6" s="37">
        <v>45627</v>
      </c>
      <c r="U6" s="176"/>
      <c r="V6" s="192"/>
      <c r="W6" s="176"/>
      <c r="X6" s="176"/>
    </row>
    <row r="7" spans="1:24" ht="23.25" customHeight="1" thickBot="1" x14ac:dyDescent="0.35">
      <c r="A7" s="5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0">
        <v>8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1"/>
      <c r="U7" s="26">
        <v>9</v>
      </c>
      <c r="V7" s="73">
        <v>10</v>
      </c>
      <c r="W7" s="26">
        <v>11</v>
      </c>
      <c r="X7" s="26">
        <v>12</v>
      </c>
    </row>
    <row r="8" spans="1:24" ht="28.8" x14ac:dyDescent="0.3">
      <c r="A8" s="39">
        <v>1</v>
      </c>
      <c r="B8" s="6" t="s">
        <v>35</v>
      </c>
      <c r="C8" s="6" t="s">
        <v>36</v>
      </c>
      <c r="D8" s="6">
        <v>40</v>
      </c>
      <c r="E8" s="6">
        <f>W8</f>
        <v>1969.67</v>
      </c>
      <c r="F8" s="6">
        <f>V8</f>
        <v>26.33</v>
      </c>
      <c r="G8" s="43">
        <f>IF(E8=0,0,ROUND(E8/(E8+F8),4))</f>
        <v>0.98680000000000001</v>
      </c>
      <c r="H8" s="56">
        <f>SUM(I8:T8)</f>
        <v>1996</v>
      </c>
      <c r="I8" s="30">
        <v>159</v>
      </c>
      <c r="J8" s="30">
        <v>168</v>
      </c>
      <c r="K8" s="30">
        <v>167</v>
      </c>
      <c r="L8" s="30">
        <v>152</v>
      </c>
      <c r="M8" s="30">
        <v>184</v>
      </c>
      <c r="N8" s="30">
        <v>176</v>
      </c>
      <c r="O8" s="30">
        <v>168</v>
      </c>
      <c r="P8" s="31">
        <v>184</v>
      </c>
      <c r="Q8" s="30">
        <v>160</v>
      </c>
      <c r="R8" s="30">
        <v>142</v>
      </c>
      <c r="S8" s="30">
        <v>176</v>
      </c>
      <c r="T8" s="30">
        <v>160</v>
      </c>
      <c r="U8" s="30">
        <v>116</v>
      </c>
      <c r="V8" s="81">
        <f>ROUND(U8*0.227,2)</f>
        <v>26.33</v>
      </c>
      <c r="W8" s="79">
        <f>H8-V8</f>
        <v>1969.67</v>
      </c>
      <c r="X8" s="78">
        <f>IF(W8=0,0,ROUND(W8/(W8+V8)*100%,4))</f>
        <v>0.98680000000000001</v>
      </c>
    </row>
    <row r="9" spans="1:24" ht="28.8" x14ac:dyDescent="0.3">
      <c r="A9" s="39">
        <v>2</v>
      </c>
      <c r="B9" s="6" t="s">
        <v>37</v>
      </c>
      <c r="C9" s="6" t="s">
        <v>36</v>
      </c>
      <c r="D9" s="6">
        <v>25</v>
      </c>
      <c r="E9" s="6">
        <f t="shared" ref="E9:E10" si="0">W9</f>
        <v>1951.04</v>
      </c>
      <c r="F9" s="6">
        <f t="shared" ref="F9:F10" si="1">V9</f>
        <v>30.96</v>
      </c>
      <c r="G9" s="43">
        <f>IF(E9=0,0,ROUND(E9/(E9+F9),4))</f>
        <v>0.98440000000000005</v>
      </c>
      <c r="H9" s="56">
        <f t="shared" ref="H9:H28" si="2">SUM(I9:T9)</f>
        <v>1982</v>
      </c>
      <c r="I9" s="30">
        <v>145</v>
      </c>
      <c r="J9" s="30">
        <v>175</v>
      </c>
      <c r="K9" s="30">
        <v>160</v>
      </c>
      <c r="L9" s="30">
        <v>155</v>
      </c>
      <c r="M9" s="30">
        <v>180</v>
      </c>
      <c r="N9" s="30">
        <v>164</v>
      </c>
      <c r="O9" s="30">
        <v>175</v>
      </c>
      <c r="P9" s="30">
        <v>164</v>
      </c>
      <c r="Q9" s="30">
        <v>175</v>
      </c>
      <c r="R9" s="30">
        <v>154</v>
      </c>
      <c r="S9" s="30">
        <v>180</v>
      </c>
      <c r="T9" s="30">
        <v>155</v>
      </c>
      <c r="U9" s="30">
        <v>144</v>
      </c>
      <c r="V9" s="81">
        <f>ROUND(U9*0.215,2)</f>
        <v>30.96</v>
      </c>
      <c r="W9" s="79">
        <f t="shared" ref="W9:W28" si="3">H9-V9</f>
        <v>1951.04</v>
      </c>
      <c r="X9" s="78">
        <f>IF(W9=0,0,ROUND(W9/(W9+V9)*100%,4))</f>
        <v>0.98440000000000005</v>
      </c>
    </row>
    <row r="10" spans="1:24" ht="28.8" x14ac:dyDescent="0.3">
      <c r="A10" s="39">
        <v>3</v>
      </c>
      <c r="B10" s="6" t="s">
        <v>38</v>
      </c>
      <c r="C10" s="6" t="s">
        <v>36</v>
      </c>
      <c r="D10" s="6">
        <v>30.6</v>
      </c>
      <c r="E10" s="6">
        <f t="shared" si="0"/>
        <v>1957.12</v>
      </c>
      <c r="F10" s="6">
        <f t="shared" si="1"/>
        <v>26.88</v>
      </c>
      <c r="G10" s="43">
        <f>IF(E10=0,0,ROUND(E10/(E10+F10),4))</f>
        <v>0.98650000000000004</v>
      </c>
      <c r="H10" s="56">
        <f t="shared" si="2"/>
        <v>1984</v>
      </c>
      <c r="I10" s="30">
        <v>165</v>
      </c>
      <c r="J10" s="30">
        <v>180</v>
      </c>
      <c r="K10" s="30">
        <v>165</v>
      </c>
      <c r="L10" s="30">
        <v>165</v>
      </c>
      <c r="M10" s="30">
        <v>175</v>
      </c>
      <c r="N10" s="30">
        <v>154</v>
      </c>
      <c r="O10" s="30">
        <v>173</v>
      </c>
      <c r="P10" s="30">
        <v>170</v>
      </c>
      <c r="Q10" s="30">
        <v>167</v>
      </c>
      <c r="R10" s="30">
        <v>150</v>
      </c>
      <c r="S10" s="30">
        <v>150</v>
      </c>
      <c r="T10" s="30">
        <v>170</v>
      </c>
      <c r="U10" s="30">
        <v>125</v>
      </c>
      <c r="V10" s="81">
        <f>ROUND(U10*0.215,2)</f>
        <v>26.88</v>
      </c>
      <c r="W10" s="79">
        <f t="shared" si="3"/>
        <v>1957.12</v>
      </c>
      <c r="X10" s="78">
        <f>IF(W10=0,0,ROUND(W10/(W10+V10)*100%,4))</f>
        <v>0.98650000000000004</v>
      </c>
    </row>
    <row r="11" spans="1:24" ht="15.6" hidden="1" x14ac:dyDescent="0.3">
      <c r="A11" s="57">
        <v>4</v>
      </c>
      <c r="B11" s="27">
        <v>0</v>
      </c>
      <c r="C11" s="28">
        <v>0</v>
      </c>
      <c r="D11" s="28"/>
      <c r="E11" s="29">
        <f t="shared" ref="E11:E28" si="4">W11</f>
        <v>0</v>
      </c>
      <c r="F11" s="29">
        <f t="shared" ref="F11:F28" si="5">V11</f>
        <v>0</v>
      </c>
      <c r="G11" s="43" t="e">
        <f t="shared" ref="G11:G28" si="6">ROUND(E11/(E11+F11),4)</f>
        <v>#DIV/0!</v>
      </c>
      <c r="H11" s="56">
        <f t="shared" si="2"/>
        <v>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2">
        <f t="shared" ref="V11" si="7">U11*0.215</f>
        <v>0</v>
      </c>
      <c r="W11" s="32">
        <f t="shared" si="3"/>
        <v>0</v>
      </c>
      <c r="X11" s="78" t="e">
        <f t="shared" ref="X11:X28" si="8">W11/(W11+V11)*100%</f>
        <v>#DIV/0!</v>
      </c>
    </row>
    <row r="12" spans="1:24" ht="15.6" hidden="1" x14ac:dyDescent="0.3">
      <c r="A12" s="57">
        <v>5</v>
      </c>
      <c r="B12" s="27">
        <v>0</v>
      </c>
      <c r="C12" s="28">
        <v>0</v>
      </c>
      <c r="D12" s="28"/>
      <c r="E12" s="29">
        <f t="shared" si="4"/>
        <v>0</v>
      </c>
      <c r="F12" s="29">
        <f t="shared" si="5"/>
        <v>0</v>
      </c>
      <c r="G12" s="43" t="e">
        <f t="shared" si="6"/>
        <v>#DIV/0!</v>
      </c>
      <c r="H12" s="56">
        <f t="shared" si="2"/>
        <v>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2">
        <f>U12*0.215</f>
        <v>0</v>
      </c>
      <c r="W12" s="32">
        <f t="shared" si="3"/>
        <v>0</v>
      </c>
      <c r="X12" s="78" t="e">
        <f t="shared" si="8"/>
        <v>#DIV/0!</v>
      </c>
    </row>
    <row r="13" spans="1:24" ht="15.6" hidden="1" x14ac:dyDescent="0.3">
      <c r="A13" s="57">
        <v>6</v>
      </c>
      <c r="B13" s="27">
        <v>0</v>
      </c>
      <c r="C13" s="28">
        <v>0</v>
      </c>
      <c r="D13" s="28"/>
      <c r="E13" s="29">
        <f t="shared" si="4"/>
        <v>0</v>
      </c>
      <c r="F13" s="29">
        <f t="shared" si="5"/>
        <v>0</v>
      </c>
      <c r="G13" s="43" t="e">
        <f t="shared" si="6"/>
        <v>#DIV/0!</v>
      </c>
      <c r="H13" s="56">
        <f t="shared" si="2"/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2">
        <f t="shared" ref="V13:V28" si="9">U13*0.215</f>
        <v>0</v>
      </c>
      <c r="W13" s="32">
        <f t="shared" si="3"/>
        <v>0</v>
      </c>
      <c r="X13" s="78" t="e">
        <f t="shared" si="8"/>
        <v>#DIV/0!</v>
      </c>
    </row>
    <row r="14" spans="1:24" ht="15.6" hidden="1" x14ac:dyDescent="0.3">
      <c r="A14" s="57">
        <v>7</v>
      </c>
      <c r="B14" s="27">
        <v>0</v>
      </c>
      <c r="C14" s="28">
        <v>0</v>
      </c>
      <c r="D14" s="28"/>
      <c r="E14" s="29">
        <f t="shared" si="4"/>
        <v>0</v>
      </c>
      <c r="F14" s="29">
        <f t="shared" si="5"/>
        <v>0</v>
      </c>
      <c r="G14" s="43" t="e">
        <f t="shared" si="6"/>
        <v>#DIV/0!</v>
      </c>
      <c r="H14" s="56">
        <f t="shared" si="2"/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2">
        <f t="shared" si="9"/>
        <v>0</v>
      </c>
      <c r="W14" s="32">
        <f t="shared" si="3"/>
        <v>0</v>
      </c>
      <c r="X14" s="78" t="e">
        <f t="shared" si="8"/>
        <v>#DIV/0!</v>
      </c>
    </row>
    <row r="15" spans="1:24" ht="15.6" hidden="1" x14ac:dyDescent="0.3">
      <c r="A15" s="57">
        <v>8</v>
      </c>
      <c r="B15" s="27">
        <v>0</v>
      </c>
      <c r="C15" s="28">
        <v>0</v>
      </c>
      <c r="D15" s="28"/>
      <c r="E15" s="29">
        <f t="shared" si="4"/>
        <v>0</v>
      </c>
      <c r="F15" s="29">
        <f t="shared" si="5"/>
        <v>0</v>
      </c>
      <c r="G15" s="43" t="e">
        <f t="shared" si="6"/>
        <v>#DIV/0!</v>
      </c>
      <c r="H15" s="56">
        <f t="shared" si="2"/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2">
        <f t="shared" si="9"/>
        <v>0</v>
      </c>
      <c r="W15" s="32">
        <f t="shared" si="3"/>
        <v>0</v>
      </c>
      <c r="X15" s="78" t="e">
        <f t="shared" si="8"/>
        <v>#DIV/0!</v>
      </c>
    </row>
    <row r="16" spans="1:24" ht="15.6" hidden="1" x14ac:dyDescent="0.3">
      <c r="A16" s="57">
        <v>9</v>
      </c>
      <c r="B16" s="27">
        <v>0</v>
      </c>
      <c r="C16" s="28">
        <v>0</v>
      </c>
      <c r="D16" s="28"/>
      <c r="E16" s="29">
        <f t="shared" si="4"/>
        <v>0</v>
      </c>
      <c r="F16" s="29">
        <f t="shared" si="5"/>
        <v>0</v>
      </c>
      <c r="G16" s="43" t="e">
        <f t="shared" si="6"/>
        <v>#DIV/0!</v>
      </c>
      <c r="H16" s="56">
        <f t="shared" si="2"/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2">
        <f t="shared" si="9"/>
        <v>0</v>
      </c>
      <c r="W16" s="32">
        <f t="shared" si="3"/>
        <v>0</v>
      </c>
      <c r="X16" s="78" t="e">
        <f t="shared" si="8"/>
        <v>#DIV/0!</v>
      </c>
    </row>
    <row r="17" spans="1:24" ht="15.6" hidden="1" x14ac:dyDescent="0.3">
      <c r="A17" s="57">
        <v>10</v>
      </c>
      <c r="B17" s="27">
        <v>0</v>
      </c>
      <c r="C17" s="28">
        <v>0</v>
      </c>
      <c r="D17" s="28"/>
      <c r="E17" s="29">
        <f t="shared" si="4"/>
        <v>0</v>
      </c>
      <c r="F17" s="29">
        <f t="shared" si="5"/>
        <v>0</v>
      </c>
      <c r="G17" s="43" t="e">
        <f t="shared" si="6"/>
        <v>#DIV/0!</v>
      </c>
      <c r="H17" s="56">
        <f t="shared" si="2"/>
        <v>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2">
        <f t="shared" si="9"/>
        <v>0</v>
      </c>
      <c r="W17" s="32">
        <f t="shared" si="3"/>
        <v>0</v>
      </c>
      <c r="X17" s="78" t="e">
        <f t="shared" si="8"/>
        <v>#DIV/0!</v>
      </c>
    </row>
    <row r="18" spans="1:24" ht="15.6" hidden="1" x14ac:dyDescent="0.3">
      <c r="A18" s="57">
        <v>11</v>
      </c>
      <c r="B18" s="27">
        <v>0</v>
      </c>
      <c r="C18" s="28">
        <v>0</v>
      </c>
      <c r="D18" s="28"/>
      <c r="E18" s="29">
        <f t="shared" si="4"/>
        <v>0</v>
      </c>
      <c r="F18" s="29">
        <f t="shared" si="5"/>
        <v>0</v>
      </c>
      <c r="G18" s="43" t="e">
        <f t="shared" si="6"/>
        <v>#DIV/0!</v>
      </c>
      <c r="H18" s="56">
        <f t="shared" si="2"/>
        <v>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2">
        <f t="shared" si="9"/>
        <v>0</v>
      </c>
      <c r="W18" s="32">
        <f t="shared" si="3"/>
        <v>0</v>
      </c>
      <c r="X18" s="78" t="e">
        <f t="shared" si="8"/>
        <v>#DIV/0!</v>
      </c>
    </row>
    <row r="19" spans="1:24" ht="15.6" hidden="1" x14ac:dyDescent="0.3">
      <c r="A19" s="57">
        <v>12</v>
      </c>
      <c r="B19" s="27">
        <v>0</v>
      </c>
      <c r="C19" s="28">
        <v>0</v>
      </c>
      <c r="D19" s="28"/>
      <c r="E19" s="29">
        <f t="shared" si="4"/>
        <v>0</v>
      </c>
      <c r="F19" s="29">
        <f t="shared" si="5"/>
        <v>0</v>
      </c>
      <c r="G19" s="43" t="e">
        <f t="shared" si="6"/>
        <v>#DIV/0!</v>
      </c>
      <c r="H19" s="56">
        <f t="shared" si="2"/>
        <v>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2">
        <f t="shared" si="9"/>
        <v>0</v>
      </c>
      <c r="W19" s="32">
        <f t="shared" si="3"/>
        <v>0</v>
      </c>
      <c r="X19" s="78" t="e">
        <f t="shared" si="8"/>
        <v>#DIV/0!</v>
      </c>
    </row>
    <row r="20" spans="1:24" ht="15.6" hidden="1" x14ac:dyDescent="0.3">
      <c r="A20" s="57">
        <v>13</v>
      </c>
      <c r="B20" s="27">
        <v>0</v>
      </c>
      <c r="C20" s="28">
        <v>0</v>
      </c>
      <c r="D20" s="28"/>
      <c r="E20" s="29">
        <f t="shared" si="4"/>
        <v>0</v>
      </c>
      <c r="F20" s="29">
        <f t="shared" si="5"/>
        <v>0</v>
      </c>
      <c r="G20" s="43" t="e">
        <f t="shared" si="6"/>
        <v>#DIV/0!</v>
      </c>
      <c r="H20" s="56">
        <f t="shared" si="2"/>
        <v>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2">
        <f t="shared" si="9"/>
        <v>0</v>
      </c>
      <c r="W20" s="32">
        <f t="shared" si="3"/>
        <v>0</v>
      </c>
      <c r="X20" s="78" t="e">
        <f t="shared" si="8"/>
        <v>#DIV/0!</v>
      </c>
    </row>
    <row r="21" spans="1:24" ht="15.6" hidden="1" x14ac:dyDescent="0.3">
      <c r="A21" s="57">
        <v>14</v>
      </c>
      <c r="B21" s="27">
        <v>0</v>
      </c>
      <c r="C21" s="28">
        <v>0</v>
      </c>
      <c r="D21" s="28"/>
      <c r="E21" s="29">
        <f t="shared" si="4"/>
        <v>0</v>
      </c>
      <c r="F21" s="29">
        <f t="shared" si="5"/>
        <v>0</v>
      </c>
      <c r="G21" s="43" t="e">
        <f t="shared" si="6"/>
        <v>#DIV/0!</v>
      </c>
      <c r="H21" s="56">
        <f t="shared" si="2"/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2">
        <f t="shared" si="9"/>
        <v>0</v>
      </c>
      <c r="W21" s="32">
        <f t="shared" si="3"/>
        <v>0</v>
      </c>
      <c r="X21" s="78" t="e">
        <f t="shared" si="8"/>
        <v>#DIV/0!</v>
      </c>
    </row>
    <row r="22" spans="1:24" ht="15.6" hidden="1" x14ac:dyDescent="0.3">
      <c r="A22" s="57">
        <v>15</v>
      </c>
      <c r="B22" s="27">
        <v>0</v>
      </c>
      <c r="C22" s="28">
        <v>0</v>
      </c>
      <c r="D22" s="28"/>
      <c r="E22" s="29">
        <f t="shared" si="4"/>
        <v>0</v>
      </c>
      <c r="F22" s="29">
        <f t="shared" si="5"/>
        <v>0</v>
      </c>
      <c r="G22" s="43" t="e">
        <f t="shared" si="6"/>
        <v>#DIV/0!</v>
      </c>
      <c r="H22" s="56">
        <f t="shared" si="2"/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>
        <f t="shared" si="9"/>
        <v>0</v>
      </c>
      <c r="W22" s="32">
        <f t="shared" si="3"/>
        <v>0</v>
      </c>
      <c r="X22" s="78" t="e">
        <f t="shared" si="8"/>
        <v>#DIV/0!</v>
      </c>
    </row>
    <row r="23" spans="1:24" ht="15.6" hidden="1" x14ac:dyDescent="0.3">
      <c r="A23" s="57">
        <v>16</v>
      </c>
      <c r="B23" s="27">
        <v>0</v>
      </c>
      <c r="C23" s="28">
        <v>0</v>
      </c>
      <c r="D23" s="28"/>
      <c r="E23" s="29">
        <f t="shared" si="4"/>
        <v>0</v>
      </c>
      <c r="F23" s="29">
        <f t="shared" si="5"/>
        <v>0</v>
      </c>
      <c r="G23" s="43" t="e">
        <f t="shared" si="6"/>
        <v>#DIV/0!</v>
      </c>
      <c r="H23" s="56">
        <f t="shared" si="2"/>
        <v>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 t="shared" si="9"/>
        <v>0</v>
      </c>
      <c r="W23" s="32">
        <f t="shared" si="3"/>
        <v>0</v>
      </c>
      <c r="X23" s="78" t="e">
        <f t="shared" si="8"/>
        <v>#DIV/0!</v>
      </c>
    </row>
    <row r="24" spans="1:24" ht="15.6" hidden="1" x14ac:dyDescent="0.3">
      <c r="A24" s="57">
        <v>17</v>
      </c>
      <c r="B24" s="27">
        <v>0</v>
      </c>
      <c r="C24" s="28">
        <v>0</v>
      </c>
      <c r="D24" s="28"/>
      <c r="E24" s="29">
        <f t="shared" si="4"/>
        <v>0</v>
      </c>
      <c r="F24" s="29">
        <f t="shared" si="5"/>
        <v>0</v>
      </c>
      <c r="G24" s="43" t="e">
        <f t="shared" si="6"/>
        <v>#DIV/0!</v>
      </c>
      <c r="H24" s="56">
        <f t="shared" si="2"/>
        <v>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9"/>
        <v>0</v>
      </c>
      <c r="W24" s="32">
        <f t="shared" si="3"/>
        <v>0</v>
      </c>
      <c r="X24" s="78" t="e">
        <f t="shared" si="8"/>
        <v>#DIV/0!</v>
      </c>
    </row>
    <row r="25" spans="1:24" ht="15.6" hidden="1" x14ac:dyDescent="0.3">
      <c r="A25" s="57">
        <v>18</v>
      </c>
      <c r="B25" s="27">
        <v>0</v>
      </c>
      <c r="C25" s="28">
        <v>0</v>
      </c>
      <c r="D25" s="28"/>
      <c r="E25" s="29">
        <f t="shared" si="4"/>
        <v>0</v>
      </c>
      <c r="F25" s="29">
        <f t="shared" si="5"/>
        <v>0</v>
      </c>
      <c r="G25" s="43" t="e">
        <f t="shared" si="6"/>
        <v>#DIV/0!</v>
      </c>
      <c r="H25" s="56">
        <f t="shared" si="2"/>
        <v>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9"/>
        <v>0</v>
      </c>
      <c r="W25" s="32">
        <f t="shared" si="3"/>
        <v>0</v>
      </c>
      <c r="X25" s="78" t="e">
        <f t="shared" si="8"/>
        <v>#DIV/0!</v>
      </c>
    </row>
    <row r="26" spans="1:24" ht="15.6" hidden="1" x14ac:dyDescent="0.3">
      <c r="A26" s="57">
        <v>19</v>
      </c>
      <c r="B26" s="27">
        <v>0</v>
      </c>
      <c r="C26" s="28">
        <v>0</v>
      </c>
      <c r="D26" s="28"/>
      <c r="E26" s="29">
        <f t="shared" si="4"/>
        <v>0</v>
      </c>
      <c r="F26" s="29">
        <f t="shared" si="5"/>
        <v>0</v>
      </c>
      <c r="G26" s="43" t="e">
        <f t="shared" si="6"/>
        <v>#DIV/0!</v>
      </c>
      <c r="H26" s="56">
        <f t="shared" si="2"/>
        <v>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9"/>
        <v>0</v>
      </c>
      <c r="W26" s="32">
        <f t="shared" si="3"/>
        <v>0</v>
      </c>
      <c r="X26" s="78" t="e">
        <f t="shared" si="8"/>
        <v>#DIV/0!</v>
      </c>
    </row>
    <row r="27" spans="1:24" ht="15.6" hidden="1" x14ac:dyDescent="0.3">
      <c r="A27" s="57">
        <v>20</v>
      </c>
      <c r="B27" s="27">
        <v>0</v>
      </c>
      <c r="C27" s="28">
        <v>0</v>
      </c>
      <c r="D27" s="28"/>
      <c r="E27" s="29">
        <f t="shared" si="4"/>
        <v>0</v>
      </c>
      <c r="F27" s="29">
        <f t="shared" si="5"/>
        <v>0</v>
      </c>
      <c r="G27" s="43" t="e">
        <f t="shared" si="6"/>
        <v>#DIV/0!</v>
      </c>
      <c r="H27" s="56">
        <f t="shared" si="2"/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2">
        <f t="shared" si="9"/>
        <v>0</v>
      </c>
      <c r="W27" s="32">
        <f t="shared" si="3"/>
        <v>0</v>
      </c>
      <c r="X27" s="78" t="e">
        <f t="shared" si="8"/>
        <v>#DIV/0!</v>
      </c>
    </row>
    <row r="28" spans="1:24" ht="15.6" hidden="1" x14ac:dyDescent="0.3">
      <c r="A28" s="58">
        <v>21</v>
      </c>
      <c r="B28" s="45">
        <v>0</v>
      </c>
      <c r="C28" s="46">
        <v>0</v>
      </c>
      <c r="D28" s="46"/>
      <c r="E28" s="47">
        <f t="shared" si="4"/>
        <v>0</v>
      </c>
      <c r="F28" s="47">
        <f t="shared" si="5"/>
        <v>0</v>
      </c>
      <c r="G28" s="48" t="e">
        <f t="shared" si="6"/>
        <v>#DIV/0!</v>
      </c>
      <c r="H28" s="56">
        <f t="shared" si="2"/>
        <v>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2">
        <f t="shared" si="9"/>
        <v>0</v>
      </c>
      <c r="W28" s="32">
        <f t="shared" si="3"/>
        <v>0</v>
      </c>
      <c r="X28" s="78" t="e">
        <f t="shared" si="8"/>
        <v>#DIV/0!</v>
      </c>
    </row>
    <row r="29" spans="1:24" ht="28.5" customHeight="1" thickBot="1" x14ac:dyDescent="0.35">
      <c r="A29" s="162" t="s">
        <v>19</v>
      </c>
      <c r="B29" s="163"/>
      <c r="C29" s="163"/>
      <c r="D29" s="59">
        <f>SUM(D8:D28)</f>
        <v>95.6</v>
      </c>
      <c r="E29" s="60">
        <f>SUM(E8:E28)</f>
        <v>5877.83</v>
      </c>
      <c r="F29" s="60">
        <f t="shared" ref="F29" si="10">SUM(F8:F28)</f>
        <v>84.17</v>
      </c>
      <c r="G29" s="75">
        <f>IF(E29=0,0,ROUND(E29/(E29+F29),4))</f>
        <v>0.9859</v>
      </c>
      <c r="H29" s="44">
        <f>SUM(H8:H28)</f>
        <v>5962</v>
      </c>
      <c r="I29" s="164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6"/>
      <c r="U29" s="33">
        <f>SUM(U8:U28)</f>
        <v>385</v>
      </c>
      <c r="V29" s="83">
        <f>SUM(V8:V28)</f>
        <v>84.17</v>
      </c>
      <c r="W29" s="80">
        <f>SUM(W8:W28)</f>
        <v>5877.83</v>
      </c>
      <c r="X29" s="78">
        <f>IF(W29=0,0,ROUND(W29/(W29+V29)*100%,4))</f>
        <v>0.9859</v>
      </c>
    </row>
    <row r="30" spans="1:24" ht="15.6" x14ac:dyDescent="0.3">
      <c r="A30" s="34"/>
      <c r="B30" s="25"/>
      <c r="C30" s="25"/>
      <c r="D30" s="25"/>
      <c r="E30" s="25"/>
      <c r="F30" s="25"/>
      <c r="G30" s="25"/>
    </row>
    <row r="31" spans="1:24" ht="15.6" x14ac:dyDescent="0.3">
      <c r="A31" s="34"/>
      <c r="B31" s="25"/>
      <c r="C31" s="25"/>
      <c r="D31" s="25"/>
      <c r="E31" s="25"/>
      <c r="F31" s="25"/>
      <c r="G31" s="25"/>
    </row>
    <row r="32" spans="1:24" ht="15.6" x14ac:dyDescent="0.3">
      <c r="A32" s="34"/>
      <c r="B32" s="25"/>
      <c r="C32" s="25"/>
      <c r="D32" s="25"/>
      <c r="E32" s="25"/>
      <c r="F32" s="25"/>
      <c r="G32" s="25"/>
    </row>
    <row r="33" spans="1:8" ht="15.6" x14ac:dyDescent="0.3">
      <c r="A33" s="34"/>
      <c r="B33" s="25"/>
      <c r="C33" s="25"/>
      <c r="D33" s="25"/>
      <c r="E33" s="25"/>
      <c r="F33" s="25"/>
      <c r="G33" s="25"/>
    </row>
    <row r="34" spans="1:8" ht="15.6" x14ac:dyDescent="0.3">
      <c r="B34" s="25"/>
      <c r="C34" s="25"/>
      <c r="D34" s="25"/>
      <c r="E34" s="25"/>
      <c r="F34" s="25"/>
      <c r="G34" s="25"/>
    </row>
    <row r="37" spans="1:8" x14ac:dyDescent="0.3">
      <c r="G37" s="38"/>
      <c r="H37" s="38"/>
    </row>
    <row r="38" spans="1:8" x14ac:dyDescent="0.3">
      <c r="G38" s="38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3"/>
      <c r="B1" s="193"/>
      <c r="C1" s="193"/>
      <c r="D1" s="193"/>
      <c r="E1" s="193"/>
    </row>
    <row r="2" spans="1:5" ht="70.5" customHeight="1" x14ac:dyDescent="0.3">
      <c r="A2" s="62" t="s">
        <v>72</v>
      </c>
      <c r="B2" s="62" t="s">
        <v>39</v>
      </c>
      <c r="C2" s="62" t="s">
        <v>40</v>
      </c>
      <c r="D2" s="62" t="s">
        <v>41</v>
      </c>
      <c r="E2" s="63" t="s">
        <v>42</v>
      </c>
    </row>
    <row r="3" spans="1:5" x14ac:dyDescent="0.3">
      <c r="A3" s="49">
        <v>2</v>
      </c>
      <c r="B3" s="49">
        <v>3</v>
      </c>
      <c r="C3" s="49">
        <v>4</v>
      </c>
      <c r="D3" s="49">
        <v>5</v>
      </c>
      <c r="E3" s="65" t="s">
        <v>43</v>
      </c>
    </row>
    <row r="4" spans="1:5" ht="45" customHeight="1" x14ac:dyDescent="0.3">
      <c r="A4" s="76" t="s">
        <v>58</v>
      </c>
      <c r="B4" s="50">
        <v>8000</v>
      </c>
      <c r="C4" s="52">
        <f>'Ģimenes ārsta prakse'!G8</f>
        <v>0.98680000000000001</v>
      </c>
      <c r="D4" s="51">
        <f>B4*C4</f>
        <v>7894.4</v>
      </c>
      <c r="E4" s="15">
        <f>B4-D4</f>
        <v>105.60000000000036</v>
      </c>
    </row>
    <row r="5" spans="1:5" ht="43.2" x14ac:dyDescent="0.3">
      <c r="A5" s="76" t="s">
        <v>59</v>
      </c>
      <c r="B5" s="50">
        <v>10000</v>
      </c>
      <c r="C5" s="52">
        <f>'Ģimenes ārsta prakse'!G9</f>
        <v>0.98440000000000005</v>
      </c>
      <c r="D5" s="51">
        <f>B5*C5</f>
        <v>9844</v>
      </c>
      <c r="E5" s="15">
        <f t="shared" ref="E5:E10" si="0">B5-D5</f>
        <v>156</v>
      </c>
    </row>
    <row r="6" spans="1:5" ht="43.2" x14ac:dyDescent="0.3">
      <c r="A6" s="76" t="s">
        <v>61</v>
      </c>
      <c r="B6" s="50">
        <v>21000</v>
      </c>
      <c r="C6" s="52">
        <f>'Ģimenes ārsta prakse'!X29</f>
        <v>0.9859</v>
      </c>
      <c r="D6" s="51">
        <f t="shared" ref="D6:D9" si="1">B6*C6</f>
        <v>20703.900000000001</v>
      </c>
      <c r="E6" s="15">
        <f t="shared" si="0"/>
        <v>296.09999999999854</v>
      </c>
    </row>
    <row r="7" spans="1:5" ht="57.6" x14ac:dyDescent="0.3">
      <c r="A7" s="76" t="s">
        <v>73</v>
      </c>
      <c r="B7" s="50">
        <v>300</v>
      </c>
      <c r="C7" s="52">
        <f>'Ģimenes ārsta prakse'!G29</f>
        <v>0.9859</v>
      </c>
      <c r="D7" s="51">
        <f t="shared" si="1"/>
        <v>295.77</v>
      </c>
      <c r="E7" s="15">
        <f t="shared" si="0"/>
        <v>4.2300000000000182</v>
      </c>
    </row>
    <row r="8" spans="1:5" ht="57.6" x14ac:dyDescent="0.3">
      <c r="A8" s="76" t="s">
        <v>74</v>
      </c>
      <c r="B8" s="50">
        <v>6000</v>
      </c>
      <c r="C8" s="52">
        <f>'Ģimenes ārsta prakse'!G29</f>
        <v>0.9859</v>
      </c>
      <c r="D8" s="51">
        <f t="shared" si="1"/>
        <v>5915.4</v>
      </c>
      <c r="E8" s="15">
        <f t="shared" si="0"/>
        <v>84.600000000000364</v>
      </c>
    </row>
    <row r="9" spans="1:5" ht="43.2" x14ac:dyDescent="0.3">
      <c r="A9" s="76" t="s">
        <v>75</v>
      </c>
      <c r="B9" s="50">
        <v>600</v>
      </c>
      <c r="C9" s="52">
        <f>'Ģimenes ārsta prakse'!G29</f>
        <v>0.9859</v>
      </c>
      <c r="D9" s="51">
        <f t="shared" si="1"/>
        <v>591.54</v>
      </c>
      <c r="E9" s="15">
        <f t="shared" si="0"/>
        <v>8.4600000000000364</v>
      </c>
    </row>
    <row r="10" spans="1:5" ht="30" customHeight="1" x14ac:dyDescent="0.3">
      <c r="A10" s="76" t="s">
        <v>60</v>
      </c>
      <c r="B10" s="50">
        <v>4500</v>
      </c>
      <c r="C10" s="52">
        <f>'Ģimenes ārsta prakse'!X29</f>
        <v>0.9859</v>
      </c>
      <c r="D10" s="51">
        <f>B10*C10</f>
        <v>4436.55</v>
      </c>
      <c r="E10" s="15">
        <f t="shared" si="0"/>
        <v>63.449999999999818</v>
      </c>
    </row>
    <row r="11" spans="1:5" ht="15" thickBot="1" x14ac:dyDescent="0.35">
      <c r="A11" s="77" t="s">
        <v>65</v>
      </c>
      <c r="B11" s="69">
        <f>SUM(B4:B10)</f>
        <v>50400</v>
      </c>
      <c r="C11" s="70" t="s">
        <v>44</v>
      </c>
      <c r="D11" s="71">
        <f>SUM(D4:D10)</f>
        <v>49681.560000000005</v>
      </c>
      <c r="E11" s="72">
        <f>SUM(E4:E10)</f>
        <v>718.43999999999915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4"/>
    <col min="6" max="16384" width="9.109375" style="3"/>
  </cols>
  <sheetData>
    <row r="1" spans="1:5" ht="29.4" thickBot="1" x14ac:dyDescent="0.35">
      <c r="A1" s="194" t="s">
        <v>45</v>
      </c>
      <c r="B1" s="194"/>
      <c r="C1" s="194"/>
      <c r="D1" s="194"/>
      <c r="E1" s="22"/>
    </row>
    <row r="2" spans="1:5" ht="86.4" x14ac:dyDescent="0.3">
      <c r="A2" s="61" t="s">
        <v>46</v>
      </c>
      <c r="B2" s="62" t="s">
        <v>47</v>
      </c>
      <c r="C2" s="62" t="s">
        <v>48</v>
      </c>
      <c r="D2" s="63" t="s">
        <v>49</v>
      </c>
      <c r="E2" s="22" t="s">
        <v>50</v>
      </c>
    </row>
    <row r="3" spans="1:5" ht="14.4" x14ac:dyDescent="0.3">
      <c r="A3" s="64">
        <v>1</v>
      </c>
      <c r="B3" s="49">
        <v>2</v>
      </c>
      <c r="C3" s="49" t="s">
        <v>51</v>
      </c>
      <c r="D3" s="65">
        <v>4</v>
      </c>
      <c r="E3" s="3"/>
    </row>
    <row r="4" spans="1:5" ht="37.200000000000003" thickBot="1" x14ac:dyDescent="0.35">
      <c r="A4" s="66">
        <f>Kopsavilkums!I31</f>
        <v>50420</v>
      </c>
      <c r="B4" s="67">
        <f>Kopsavilkums!J31</f>
        <v>49701.560000000005</v>
      </c>
      <c r="C4" s="67">
        <f>A4-B4</f>
        <v>718.43999999999505</v>
      </c>
      <c r="D4" s="68"/>
      <c r="E4" s="2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5" customWidth="1"/>
    <col min="2" max="2" width="22.109375" style="85" customWidth="1"/>
    <col min="3" max="3" width="25.6640625" style="85" customWidth="1"/>
    <col min="4" max="16384" width="9.33203125" style="85"/>
  </cols>
  <sheetData>
    <row r="1" spans="1:5" ht="14.4" x14ac:dyDescent="0.3">
      <c r="A1" s="196" t="s">
        <v>63</v>
      </c>
      <c r="B1" s="197"/>
      <c r="C1" s="198"/>
      <c r="D1" s="84"/>
    </row>
    <row r="2" spans="1:5" ht="14.4" x14ac:dyDescent="0.3">
      <c r="A2" s="89"/>
      <c r="B2" s="90"/>
      <c r="C2" s="90"/>
    </row>
    <row r="3" spans="1:5" s="87" customFormat="1" ht="28.8" x14ac:dyDescent="0.3">
      <c r="A3" s="98" t="s">
        <v>64</v>
      </c>
      <c r="B3" s="91" t="s">
        <v>65</v>
      </c>
      <c r="C3" s="91" t="s">
        <v>66</v>
      </c>
      <c r="D3" s="86" t="s">
        <v>15</v>
      </c>
    </row>
    <row r="4" spans="1:5" ht="27.6" x14ac:dyDescent="0.3">
      <c r="A4" s="92" t="s">
        <v>69</v>
      </c>
      <c r="B4" s="93">
        <f>IFERROR(IF((Kopsavilkums!J31-Kopsavilkums!J29)/(Kopsavilkums!I31-Kopsavilkums!I29)&gt;=0.85,ROUND(Kopsavilkums!I31*0.85,2),Kopsavilkums!I31-Kopsavilkums!K31),0)</f>
        <v>42857</v>
      </c>
      <c r="C4" s="94">
        <f>IF(B4&gt;0,B4/B7,0)</f>
        <v>0.85</v>
      </c>
      <c r="D4" s="86" t="s">
        <v>15</v>
      </c>
    </row>
    <row r="5" spans="1:5" ht="27.6" x14ac:dyDescent="0.3">
      <c r="A5" s="92" t="s">
        <v>67</v>
      </c>
      <c r="B5" s="93">
        <f>Kopsavilkums!J31-'Finansēšanas plāns'!B4</f>
        <v>6844.5600000000049</v>
      </c>
      <c r="C5" s="94">
        <f>IF(B5&gt;0,B5/B7,0)</f>
        <v>0.13575089250297512</v>
      </c>
      <c r="D5" s="86" t="s">
        <v>15</v>
      </c>
    </row>
    <row r="6" spans="1:5" ht="27.6" x14ac:dyDescent="0.3">
      <c r="A6" s="92" t="s">
        <v>70</v>
      </c>
      <c r="B6" s="93">
        <f>Kopsavilkums!K31</f>
        <v>718.43999999999915</v>
      </c>
      <c r="C6" s="94">
        <f>IF(B6&gt;0,B6/B7,0)</f>
        <v>1.4249107497024974E-2</v>
      </c>
      <c r="D6" s="86" t="s">
        <v>15</v>
      </c>
    </row>
    <row r="7" spans="1:5" ht="27.6" x14ac:dyDescent="0.3">
      <c r="A7" s="95" t="s">
        <v>68</v>
      </c>
      <c r="B7" s="96">
        <f>Kopsavilkums!I31</f>
        <v>50420</v>
      </c>
      <c r="C7" s="97">
        <f>IF(B7&gt;0,B7/B7,0)</f>
        <v>1</v>
      </c>
      <c r="D7" s="86" t="s">
        <v>15</v>
      </c>
    </row>
    <row r="8" spans="1:5" ht="27.6" x14ac:dyDescent="0.3">
      <c r="D8" s="86" t="s">
        <v>15</v>
      </c>
    </row>
    <row r="9" spans="1:5" x14ac:dyDescent="0.3">
      <c r="B9" s="88"/>
      <c r="C9" s="195"/>
      <c r="D9" s="195"/>
      <c r="E9" s="84"/>
    </row>
    <row r="10" spans="1:5" x14ac:dyDescent="0.3">
      <c r="D10" s="86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52</v>
      </c>
      <c r="C1" s="7" t="s">
        <v>53</v>
      </c>
      <c r="D1" s="7" t="s">
        <v>54</v>
      </c>
    </row>
    <row r="2" spans="1:6" s="3" customFormat="1" ht="24" customHeight="1" x14ac:dyDescent="0.3">
      <c r="A2" s="8" t="s">
        <v>55</v>
      </c>
      <c r="B2" s="5">
        <f>Kopsavilkums!J31</f>
        <v>49701.560000000005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56</v>
      </c>
      <c r="B3" s="5">
        <f>Kopsavilkums!K31</f>
        <v>718.43999999999915</v>
      </c>
      <c r="C3" s="5"/>
      <c r="D3" s="5">
        <f>IF(B3&lt;C3,0,B3-C3)</f>
        <v>718.43999999999915</v>
      </c>
    </row>
    <row r="4" spans="1:6" s="11" customFormat="1" ht="24" customHeight="1" x14ac:dyDescent="0.3">
      <c r="A4" s="9" t="s">
        <v>33</v>
      </c>
      <c r="B4" s="12">
        <f t="shared" ref="B4:C4" si="0">SUM(B2:B3)</f>
        <v>50420.000000000007</v>
      </c>
      <c r="C4" s="12">
        <f t="shared" si="0"/>
        <v>0</v>
      </c>
      <c r="D4" s="10">
        <f>SUM(D2:D3)</f>
        <v>718.43999999999915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94BDAF-F6FB-4052-A7EA-D89DDAB472A7}"/>
</file>

<file path=customXml/itemProps3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2025-02-07T07:59:22Z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