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24226"/>
  <mc:AlternateContent xmlns:mc="http://schemas.openxmlformats.org/markup-compatibility/2006">
    <mc:Choice Requires="x15">
      <x15ac:absPath xmlns:x15ac="http://schemas.microsoft.com/office/spreadsheetml/2010/11/ac" url="\\file-itd-01.lm.local\LRLMSharedFolders$\ESSD\Vjačeslava dokumenti\2014-2020\Vienkāršotās izmaksas\UnitCost metodikas\9.2.2.1\1.SBSP\Grozījumi Nr. 10 (3. pielikums)\"/>
    </mc:Choice>
  </mc:AlternateContent>
  <xr:revisionPtr revIDLastSave="0" documentId="13_ncr:1_{15231D23-8010-4D8B-8F7B-E8A2A04A0034}" xr6:coauthVersionLast="36" xr6:coauthVersionMax="36" xr10:uidLastSave="{00000000-0000-0000-0000-000000000000}"/>
  <bookViews>
    <workbookView xWindow="0" yWindow="0" windowWidth="19200" windowHeight="6350" xr2:uid="{00000000-000D-0000-FFFF-FFFF00000000}"/>
  </bookViews>
  <sheets>
    <sheet name="4.1. pielikums" sheetId="10" r:id="rId1"/>
    <sheet name="4.2. pielikums" sheetId="2" r:id="rId2"/>
    <sheet name="4.3. pielikums" sheetId="8" r:id="rId3"/>
    <sheet name="4.4. pielikums" sheetId="11" r:id="rId4"/>
    <sheet name="4.5. pielikums" sheetId="12" r:id="rId5"/>
    <sheet name="4.6. pielikums" sheetId="14" r:id="rId6"/>
    <sheet name="4.7. pielikums" sheetId="13" r:id="rId7"/>
  </sheets>
  <definedNames>
    <definedName name="_xlnm.Print_Titles" localSheetId="1">'4.2. pielikums'!$3:$3</definedName>
  </definedNames>
  <calcPr calcId="191029" iterateDelta="1E-4"/>
  <fileRecoveryPr autoRecover="0"/>
</workbook>
</file>

<file path=xl/calcChain.xml><?xml version="1.0" encoding="utf-8"?>
<calcChain xmlns="http://schemas.openxmlformats.org/spreadsheetml/2006/main">
  <c r="D41" i="2" l="1"/>
  <c r="D33" i="2"/>
  <c r="C9" i="8" l="1"/>
  <c r="C8" i="8"/>
  <c r="C7" i="8"/>
  <c r="C6" i="8"/>
  <c r="D42" i="2"/>
  <c r="D43" i="2" s="1"/>
  <c r="D44" i="2" s="1"/>
  <c r="D45" i="2" s="1"/>
  <c r="D46" i="2" s="1"/>
  <c r="D47" i="2" s="1"/>
  <c r="C40" i="2" s="1"/>
  <c r="D34" i="2"/>
  <c r="D35" i="2" s="1"/>
  <c r="D24" i="2"/>
  <c r="D25" i="2" s="1"/>
  <c r="D15" i="2"/>
  <c r="D16" i="2" s="1"/>
  <c r="D6" i="2"/>
  <c r="D7" i="2" s="1"/>
  <c r="D36" i="2" l="1"/>
  <c r="D37" i="2" s="1"/>
  <c r="D38" i="2" s="1"/>
  <c r="D39" i="2" s="1"/>
  <c r="C32" i="2" s="1"/>
  <c r="C4" i="2" s="1"/>
  <c r="D26" i="2"/>
  <c r="D27" i="2" s="1"/>
  <c r="D28" i="2" s="1"/>
  <c r="D29" i="2" s="1"/>
  <c r="D30" i="2" s="1"/>
  <c r="D31" i="2" s="1"/>
  <c r="C23" i="2" s="1"/>
  <c r="D17" i="2"/>
  <c r="D18" i="2" s="1"/>
  <c r="D19" i="2" s="1"/>
  <c r="D20" i="2" s="1"/>
  <c r="D8" i="2"/>
  <c r="D9" i="2" s="1"/>
  <c r="D10" i="2" s="1"/>
  <c r="D11" i="2" s="1"/>
  <c r="D21" i="2" l="1"/>
  <c r="D22" i="2" s="1"/>
  <c r="C14" i="2" s="1"/>
  <c r="D12" i="2"/>
  <c r="D13" i="2" s="1"/>
  <c r="C5" i="2" s="1"/>
  <c r="B10" i="8" l="1"/>
  <c r="D9" i="8"/>
  <c r="E9" i="8" s="1"/>
  <c r="F9" i="8" s="1"/>
  <c r="D8" i="8"/>
  <c r="E8" i="8" s="1"/>
  <c r="F8" i="8" s="1"/>
  <c r="D7" i="8"/>
  <c r="B4" i="2"/>
  <c r="A49" i="2"/>
  <c r="D5" i="14"/>
  <c r="E5" i="14" s="1"/>
  <c r="D7" i="14"/>
  <c r="E7" i="14" s="1"/>
  <c r="A58" i="2"/>
  <c r="A57" i="2"/>
  <c r="A56" i="2"/>
  <c r="A55" i="2"/>
  <c r="A54" i="2"/>
  <c r="A52" i="2"/>
  <c r="A51" i="2"/>
  <c r="A50" i="2"/>
  <c r="V6" i="11"/>
  <c r="V7" i="11"/>
  <c r="V8" i="11"/>
  <c r="V9" i="11"/>
  <c r="V10" i="11"/>
  <c r="V11" i="11"/>
  <c r="V12" i="11"/>
  <c r="V13" i="11"/>
  <c r="V14" i="11"/>
  <c r="V15" i="11"/>
  <c r="V17" i="11"/>
  <c r="V5" i="11"/>
  <c r="O5" i="11"/>
  <c r="O11" i="11"/>
  <c r="D6" i="8"/>
  <c r="E6" i="8" s="1"/>
  <c r="F6" i="8" s="1"/>
  <c r="C7" i="12"/>
  <c r="C8" i="12" s="1"/>
  <c r="C10" i="12" s="1"/>
  <c r="C11" i="12" s="1"/>
  <c r="C12" i="12" s="1"/>
  <c r="C59" i="2" s="1"/>
  <c r="O16" i="11"/>
  <c r="W16" i="11" s="1"/>
  <c r="O17" i="11"/>
  <c r="H17" i="11"/>
  <c r="O15" i="11"/>
  <c r="H15" i="11"/>
  <c r="O14" i="11"/>
  <c r="H14" i="11"/>
  <c r="O13" i="11"/>
  <c r="H13" i="11"/>
  <c r="O12" i="11"/>
  <c r="H12" i="11"/>
  <c r="H11" i="11"/>
  <c r="O10" i="11"/>
  <c r="H10" i="11"/>
  <c r="O9" i="11"/>
  <c r="H9" i="11"/>
  <c r="O8" i="11"/>
  <c r="H8" i="11"/>
  <c r="O7" i="11"/>
  <c r="H7" i="11"/>
  <c r="O6" i="11"/>
  <c r="H6" i="11"/>
  <c r="W6" i="11" s="1"/>
  <c r="H5" i="11"/>
  <c r="W11" i="11" l="1"/>
  <c r="C53" i="2" s="1"/>
  <c r="W13" i="11"/>
  <c r="C55" i="2"/>
  <c r="W5" i="11"/>
  <c r="W7" i="11"/>
  <c r="C49" i="2" s="1"/>
  <c r="W12" i="11"/>
  <c r="C10" i="8"/>
  <c r="W8" i="11"/>
  <c r="W10" i="11"/>
  <c r="W14" i="11"/>
  <c r="W17" i="11"/>
  <c r="W9" i="11"/>
  <c r="W15" i="11"/>
  <c r="G6" i="14"/>
  <c r="C61" i="2" s="1"/>
  <c r="D10" i="8"/>
  <c r="E7" i="8"/>
  <c r="F7" i="8" l="1"/>
  <c r="F10" i="8" s="1"/>
  <c r="C60" i="2" s="1"/>
  <c r="C56" i="2"/>
  <c r="C50" i="2"/>
  <c r="C58" i="2"/>
  <c r="C57" i="2"/>
  <c r="C51" i="2"/>
  <c r="C52" i="2"/>
  <c r="C54" i="2"/>
  <c r="E10" i="8"/>
  <c r="C48" i="2" l="1"/>
  <c r="B62" i="2" s="1"/>
</calcChain>
</file>

<file path=xl/sharedStrings.xml><?xml version="1.0" encoding="utf-8"?>
<sst xmlns="http://schemas.openxmlformats.org/spreadsheetml/2006/main" count="239" uniqueCount="148">
  <si>
    <t>4.1. pielikums</t>
  </si>
  <si>
    <t>Pakalpojuma "Specializētās darbnīcas" apraksts</t>
  </si>
  <si>
    <t>Pakalpojuma mērķis</t>
  </si>
  <si>
    <t>Specialziētās darbnīcas ir darbnīcas, kurās izveidotas darba vietas un nodrošināts speciālistu atbalsts personām ar garīga rakstura traucējumiem.</t>
  </si>
  <si>
    <t>Pakalpojuma  saturs un apjoms</t>
  </si>
  <si>
    <t>Klientam saskaņā ar Ministru kabineta 2017. gada 13. jūnija noteikumiem Nr. 338 "Prasības sociālo pakalpojumu sniedzējiem" (turpmāk - MK noteikumi Nr. 338) 176. punktu nodrošina:
- klienta nodarbinātības interešu un iemaņu novērtēšanu – atbilstoši vajadzībai;
- darba iemaņu apguvi;
- individuālās vai grupu nodarbības sociālā rehabilitētāja vadībā;
- sociālā darbinieka individuālās konsultācijas;
- klientu informēšanas un izglītošanas pasākumus atbilstoši nepieciešamībai;
- brīvā laika pasākumus.
Saskaņā ar MK noteikumu Nr. 338 178. punktu pakalpojuma sniedzējs var nodrošināt klientiem ēdināšanu.</t>
  </si>
  <si>
    <t>Īpašie nosacījumi</t>
  </si>
  <si>
    <t>Specializētā darbnīca strādā pilnu darba dienas darbalaiku, pirmssvētku dienās centra darba diena ir par vienu stundu īsāka.</t>
  </si>
  <si>
    <r>
      <t xml:space="preserve">Pakalpojuma izmaksas uz vienu klientu ir aprēķinātas, vadoties no situācijas, ka vienā darbnīcā pakalpojumu saņem 16 klienti. </t>
    </r>
    <r>
      <rPr>
        <sz val="11"/>
        <rFont val="Times New Roman"/>
        <family val="1"/>
        <charset val="186"/>
      </rPr>
      <t xml:space="preserve">Darbnīca saņem aprēķināto vienas dienas izmaksu summu </t>
    </r>
    <r>
      <rPr>
        <sz val="11"/>
        <color indexed="8"/>
        <rFont val="Times New Roman"/>
        <family val="1"/>
        <charset val="186"/>
      </rPr>
      <t>atbilstoši klie</t>
    </r>
    <r>
      <rPr>
        <sz val="11"/>
        <rFont val="Times New Roman"/>
        <family val="1"/>
        <charset val="186"/>
      </rPr>
      <t xml:space="preserve">ntu skaitam un darba dienu skaitam. </t>
    </r>
  </si>
  <si>
    <t>4.2. pielikums</t>
  </si>
  <si>
    <r>
      <t>Pakalpojuma "Specializētās darbnīcas" vienības izmaksu standarta likmes aprēķins</t>
    </r>
    <r>
      <rPr>
        <sz val="12"/>
        <rFont val="Arial"/>
        <family val="1"/>
        <charset val="186"/>
      </rPr>
      <t/>
    </r>
  </si>
  <si>
    <t xml:space="preserve"> Slodze</t>
  </si>
  <si>
    <t>Izmaksas                         1 klientam                dienā</t>
  </si>
  <si>
    <t>Aprēķins</t>
  </si>
  <si>
    <t>Paskaidrojums</t>
  </si>
  <si>
    <t>Apraksts</t>
  </si>
  <si>
    <t>Atlīdzības izmaksas kopā</t>
  </si>
  <si>
    <t xml:space="preserve">Darbu vadītājs
(8 h darba dienā) </t>
  </si>
  <si>
    <t>mēnešalgas bāze</t>
  </si>
  <si>
    <t xml:space="preserve">Pienākumi: (1) novērtēt klienta nodarbinātības intereses un iemaņas, to attīstības potenciālu; (2) organizēt un vadīt darba iemaņu apgūšanu, skaidrot un uzraudzīt, kā klients lieto darbam nepieciešamos instrumentus, iekārtas u.c. līdzekļus; (3) sniegt informāciju un skaidrojumus par nodarbinātības jautājumiem.  </t>
  </si>
  <si>
    <t>piemaksa 25%</t>
  </si>
  <si>
    <t>mēnešalgas bāze un piemaksa 25%</t>
  </si>
  <si>
    <t>VSAOI 23.59%</t>
  </si>
  <si>
    <t>atlīdzība mēnesī (1 slodze)</t>
  </si>
  <si>
    <t>atlīdzība gadā</t>
  </si>
  <si>
    <t>atlīdzība stundā</t>
  </si>
  <si>
    <t>Sociālais rehabilitētājs
(4 h darba dienā)</t>
  </si>
  <si>
    <t>Pienākumi: (1) ievākt informāciju par klienta vajadzībām un novērtēt viņa sociālās iemaņas; (2) palīdzēt klientiem uzlabot viņu sociālās funkcionēšanas spējas; (3) novērtēt, kā mainās klienta sociālā funkcionēšana, palīdzēt klientam orientēties darba vidē; (4) skaidrot informāciju un palīdzēt izmantot informācijas tehnoloģijas; (5) palīdzēt organizēt brīvo laiku.</t>
  </si>
  <si>
    <t>atlīdzība stundā (16 klienit)</t>
  </si>
  <si>
    <t>atlīdzība darba dienā (16 klienti)</t>
  </si>
  <si>
    <t>atlīdzība darba dienā (1 klients)</t>
  </si>
  <si>
    <t xml:space="preserve">Sociālais darbinieks
(4 h darba dienā) </t>
  </si>
  <si>
    <t>Pienākumi: (1) vadīt klienta sociālo problēmu risināšanu, piesaistot nepieciešamos speciālistus; (2) strādāt ar klientu individuāli vai grupā, lai  identificētu sociālo problēmu un noteiktu atbalsta veidus; (3) analizēt klienta sociālo problēmu un palīdzēt rast problēmu risinājuma iespējas; (4) nodrošināt klienta sociālā atbalsta tīkla veidošanu; (5) strādāt ar grupu, lai palīdzētu klientam attīstīt nepieciešamās prasmes; (6) aizstāvēt klientu intereses un tiesības; (7) veidot sadarbību ar citām institūcijām.</t>
  </si>
  <si>
    <t>Darbnīcas vadītājs</t>
  </si>
  <si>
    <t>Pienākumi: (1) vadīt struktūrvienības darbu; (2) pārraudzīt citu darbinieku darbu; (3) iesaistīties sarežģītu problēmu risināšanā.</t>
  </si>
  <si>
    <t>atlīdzība mēnesī (0.5 slodzes)</t>
  </si>
  <si>
    <t>atlīdzība stundā (16 klienti)</t>
  </si>
  <si>
    <t xml:space="preserve">  Grāmatvedis</t>
  </si>
  <si>
    <t>Pienākumi:  (1) gatavot pārskatus grāmatvedības jomā, veikt tiem nepieciešamos aprēķinus; (2) piedalīties gada un ceturkšņa pārskatu sastādīšanā; (3) veikt pilnu grāmatvedības uzskaiti iestādē.</t>
  </si>
  <si>
    <t>atlīdzība mēnesī (0.2 slodzes)</t>
  </si>
  <si>
    <t>Ar pakalpojuma  administrēšanu, prasību nodrošināšanu un klientu uzturēšanu saistītās izmaksas  kopā</t>
  </si>
  <si>
    <t>Inflācija % [1]</t>
  </si>
  <si>
    <t>Vidējās izmaksas aprēķinātas saskaņā ar 6 SD iesniegtajām izmaksu tāmēm par 2014., 2015. un 2016. gadu. Aprēķinu skat. 4.4. pielikumā</t>
  </si>
  <si>
    <t>Tiek nodrošināta ēdināšana 1 reizi dienā – pusdienas.  Ēdināšanas izmaksas visiem pakalpojumiem tiek nodrošinātas vienādā apmērā. Pārtika, samaksa par izdevumiem ēdināšanas nodrošināšanai, kā arī ēdināšanas pakalpojumi.</t>
  </si>
  <si>
    <t>Mācību materiāli un līdzekļi, lai nodrošinātu nodarbības klientiem.</t>
  </si>
  <si>
    <t>Transports (degviela, īre, apkope, apdrošināšana u.c.)</t>
  </si>
  <si>
    <t>Telpu īres izmaksas, komunālie pakalpojumi (apkure, ūdens un kanalizācija, elektrība, gāze, atkritumu izvešana) un uzturēšanas pakalpojumi (apdrošināšana, signalizācijas sistēmu uzstādīšana, remontdarbu pakalpojumi).</t>
  </si>
  <si>
    <t>Speciālo darbnīcu izmaksas</t>
  </si>
  <si>
    <t>Aprēķinu skat. 4.5. pielikumā</t>
  </si>
  <si>
    <t xml:space="preserve">Darba devēja apmaksātie veselības apdrošināšanas izdevumi </t>
  </si>
  <si>
    <t>Aprēķinu skat. 4.3. pielikumā</t>
  </si>
  <si>
    <t>Supervīzija</t>
  </si>
  <si>
    <t>Aprēķinu skat. 4.6. pielikumā.
Obligātās supervīzijas prasības sociālo pakalpojumu sniedzējiem noteiktas Ministru kabineta 2017. gada 13. jūnija noteikumu Nr. 338 9.2. apakšpunktā un 186. punktā.</t>
  </si>
  <si>
    <t>Kopā:</t>
  </si>
  <si>
    <t>4.3. pielikums</t>
  </si>
  <si>
    <t>Darbinieku veselības apdrošināšanas izmaksu aprēķins  pakalpojumam "Specializētās darbnīcas"</t>
  </si>
  <si>
    <t>Pakalpojumi/speciālisti</t>
  </si>
  <si>
    <t xml:space="preserve">Klientu skaits, kam plānots sniegt pakalpojumu </t>
  </si>
  <si>
    <t xml:space="preserve">Speciālistu (slodžu) skaits </t>
  </si>
  <si>
    <t>Veselības apdrošināšanas izmaksas gadā, euro [1]</t>
  </si>
  <si>
    <t>Veselības apdrošināšanas izmaksas par 1 klientu gadā,  euro</t>
  </si>
  <si>
    <t>Veselības apdrošināšanas izmaksas par 1 klientu dienā, euro</t>
  </si>
  <si>
    <t>4=3*213.43 euro</t>
  </si>
  <si>
    <t>5=4/2</t>
  </si>
  <si>
    <t xml:space="preserve">Pakalpojums "Specializētā darbnīca"  </t>
  </si>
  <si>
    <t>darbu vadītājs un sociālais rehabilitētājs</t>
  </si>
  <si>
    <t>sociālais darbinieks</t>
  </si>
  <si>
    <t>darbnīcas vadītājs</t>
  </si>
  <si>
    <t>grāmatvedis</t>
  </si>
  <si>
    <t>4.4. pielikums</t>
  </si>
  <si>
    <t>Pakalpojuma "Specializētās darbnīcas"  sniedzēju izmaksu apkopojums un vidējo izmaksu aprēķins</t>
  </si>
  <si>
    <t>Nr. p.k.</t>
  </si>
  <si>
    <t>Izdevumu pozīcija</t>
  </si>
  <si>
    <t>Izmaksas par vienu klientu dienā 2014. gadā, euro</t>
  </si>
  <si>
    <t>Izmaksas par vienu klientu dienā 2015. gadā, euro</t>
  </si>
  <si>
    <t>Izmaksas par vienu klientu dienā 2016. gadā, euro</t>
  </si>
  <si>
    <t xml:space="preserve">Vidēji (kopā) </t>
  </si>
  <si>
    <t>SD1</t>
  </si>
  <si>
    <t>SD2</t>
  </si>
  <si>
    <t>SD3</t>
  </si>
  <si>
    <t>SD4</t>
  </si>
  <si>
    <t>SD5</t>
  </si>
  <si>
    <t>Vidēji</t>
  </si>
  <si>
    <t>SD6</t>
  </si>
  <si>
    <t>Atlīdzība [1]</t>
  </si>
  <si>
    <t>Sakaru pakalpojumi (telefons, internets, pasts)</t>
  </si>
  <si>
    <t>-</t>
  </si>
  <si>
    <t>Ēdināšanas izdevumi</t>
  </si>
  <si>
    <t>Saimniecības un higiēnas preces</t>
  </si>
  <si>
    <t>Mācību materiāli un līdzekļi</t>
  </si>
  <si>
    <t>Kancelejas un biroja preces</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</si>
  <si>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</si>
  <si>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</si>
  <si>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</si>
  <si>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</si>
  <si>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</si>
  <si>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Saimnieciskie pamatlīdzekļi</t>
  </si>
  <si>
    <t>Inventārs, iekārtu remonts (materiāli un pakalpojums)</t>
  </si>
  <si>
    <t>Informācija iegūta no pašvaldībām un pašvaldību pakalpojumu sniedzējiem / no Sociālo pakalpojumu sniedzēju reģistrā reģistrētajiem 9 pakalpojumu sniedzējiem informācija iegūta no 6.</t>
  </si>
  <si>
    <t>4.5. pielikums</t>
  </si>
  <si>
    <t>Speciālo darbnīcu iekārtu izmaksu aprēķins</t>
  </si>
  <si>
    <t>Pakalpojuma sniedzējs/ izmaksas</t>
  </si>
  <si>
    <t>Specializēto darbnīcu iekārtu izmaksas, euro</t>
  </si>
  <si>
    <t xml:space="preserve">Biedrība "Rīgas pilsētas "Rūpju bērns"" </t>
  </si>
  <si>
    <t>Nodibinājums"Fonds Kopā"</t>
  </si>
  <si>
    <t>Biedrība "PINS"</t>
  </si>
  <si>
    <t>Izmaksas kopā</t>
  </si>
  <si>
    <t>Vidējās izmaksas par 1 pakalpojuma sniedzēju</t>
  </si>
  <si>
    <t>Iekārtu lietošanas laiks 10 gadi = 120 mēneši</t>
  </si>
  <si>
    <t>Vidējās izmaksas mēnesī par 1 pakalpojuma sniedzēju</t>
  </si>
  <si>
    <t>Vidējās izmaksas mēnesī par 16 klientiem</t>
  </si>
  <si>
    <t>Vidējās izmaksas dienā par 1 klientu</t>
  </si>
  <si>
    <t>4.6. pielikums</t>
  </si>
  <si>
    <t>Supervīzijas izmaksu aprēķins pakalpojumam "Specializētās darbnīcas"</t>
  </si>
  <si>
    <t>Speciālists</t>
  </si>
  <si>
    <t>Supervīzijas cena vienam darbiniekam, euro/gadā [1]</t>
  </si>
  <si>
    <t xml:space="preserve">Darba laiks gadā [2] </t>
  </si>
  <si>
    <t>Supervīzijas izmaksas par darba stundu (viens darbinieks)</t>
  </si>
  <si>
    <t>Vidējās supervīzijas izmaksas par darba stundu (viens darbinieks)</t>
  </si>
  <si>
    <t>Darbinieku skaits</t>
  </si>
  <si>
    <t>Vidējās supervīzijas izmaksas par darba stundu (divi darbinieki) [3]</t>
  </si>
  <si>
    <t>4=2/3</t>
  </si>
  <si>
    <t>5=4 (vidējais)</t>
  </si>
  <si>
    <t>7=5*6 darbinieki</t>
  </si>
  <si>
    <t>Sociālā darba speciālists [4]</t>
  </si>
  <si>
    <t>Institūcijas un struktūrvienības vadītājs</t>
  </si>
  <si>
    <t>Pārējie darbinieki</t>
  </si>
  <si>
    <t>[1] Supervīzijas cena vienam darbiniekam (euro/gadā) aprēķināta Ministru kabineta 2017. gada 13. jūnija noteikumu Nr. 338 "Prasības sociālo pakalpojumu sniedzējiem"  sākotnējās ietekmes novērtējuma ziņojuma (anotācijai) 6. pielikumā "Supervīzijas cenas aprēķins vienam darbiniekam".</t>
  </si>
  <si>
    <t>[2]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</si>
  <si>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[3] Vidējās supervīzijas izmaksas darba stundā aprēķinātas četriem darbiniekiem, ņemot vērā, ka vienas vienības izmaksu standarta likmes aprēķinā pieņemts, ka pakalpojumu nodrošina četri darbinieki darbinieki, neieskaitot grāmatvedi (grāmatvedis neveic tiešu darbu ar klientu).</t>
  </si>
  <si>
    <t>[4] Sociālā darba speciālisti - sociālais darbinieks, sociālais rehabilitētājs un sociālais aprūpētājs.</t>
  </si>
  <si>
    <t>4.7. pielikums</t>
  </si>
  <si>
    <t>Informācija par sociālo pakalpojumu sniedzējiem, kuru sniegtā informācija tika analizēta, veidojot pakalpojuma "Specializētās darbnīcas" grozu</t>
  </si>
  <si>
    <t>Informācija iegūta no pašvaldībām un pašvaldību pakalpojumu sniedzējiem (6 pakalpojumu sniedzējiem, kas veido 67 % no Sociālo pakalpojumu sniedzēju reģistrā reģistrētajām specializētajām darbnīcām pilngadīgām personām ar garīga rakstura  (kopā uz atlases brīdi bija reģistrēti 9 specializēto darbnīcu pakalpojumu sniedzēji), t.sk. Rīgas plānošanas reģions – nodibinājuma "Fonds KOPĀ" 1 SD Rīgā, biedrības "Rīgas pilsētas Rūpju bērns" 1 SD Rīgā, biedrības "PINS" 1 SD Rīgā; bērnu un jauniešu biedrības "Cerību spārni" 1 SD Siguldā, biedrības "Aicinājums Tev" 1 SD Siguldā, pašvaldības aģentūras "Jūrmalas sociālās aprūpes centrs" 1 SD Jūrmalā.
Sākotnēji informācija par specializēto darbnīcu pakalpojuma sniegšanas izmaksām tika pieprasīta no Sociālo pakalpojumu sniedzēju reģistrā reģistrētiem specializēto darbnīcu pakalpojuma sniedzējiem, kuriem ir reģistrēta klientu grupa - personas ar garīga rakstura traucējumiem un pilngadīgas personas vai visu vecumu personas. Informācija tika pieprasīta elektroniski un sazinoties pa telefonu. Vienas vienības standarta likmes aprēķinā izmantoti dati no specializēto darbnīcu pakalpojuma sniedzējiem, kuri atsaucās aicinājumam sniegt pieprasīto informāciju. Informācija par Biedrības "Cerību spārni" specializētās darbnīcas pakalpojumu izmaksām tika saņemta par 2015.g., jo 2014,.g pakalpojums vēl netika sniegts.</t>
  </si>
  <si>
    <t>[1] Administratīvās izmaksas indeksētas, piemērojot inflācijas % patēriņa grupai "0 VISAS PRECES UN PAKALPOJUMI" no 2017. gada janvāra atbilstoši CSP datiem (https://tools.csb.gov.lv/cpi_calculator/lv/2017M01-2022M08/0/100).</t>
  </si>
  <si>
    <t>atlīdzība darba dienā (8 h 16 klienti)</t>
  </si>
  <si>
    <t>atlīdzība darba dienā (8 h 1 klients)</t>
  </si>
  <si>
    <t>atlīdzība dienā (4 h 16 klienti)</t>
  </si>
  <si>
    <t>atlīdzība dienā (4 h 1 klients)</t>
  </si>
  <si>
    <t>Gadā 1720 darba stundas, t.sk. 143.3 darba stundas mēnesī.</t>
  </si>
  <si>
    <t>6=5/215 darba dienas gadā</t>
  </si>
  <si>
    <t>[1] Likuma par iedzīvotāju ienākuma nodokli 8. panta 5. daļa nosaka, ka "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kas spēkā līdz 16.11.2021. grozījumiem) nosaka, ka Veselības apdrošināšanas polises (polises cena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 puse 213.43 euro. Darbinieku apdrošināšanas izmaksu apmērs saglabāts iepriekšējā apmērā (atbilstoši Valsts un pašvaldību institūciju amatpersonu un darbinieku atlīdzības likumam, kas spēkā līdz 30.07.2022.), bet indeksējot ar inflācijas %.</t>
  </si>
  <si>
    <t>[1] Atlīdzība - pakalpojuma sniedzēju izmaksu apkopojums un vidējo izmaksu aprēķins netiek iekļauts vienas vienības izmaksu standara likmes aprēķinā, jo darbinieku atlīdzība aprēķināta saskaņā ar MK 26.04.2022. noteikumiem Nr. 262 (skat. 4.2. pielikumu).</t>
  </si>
  <si>
    <r>
      <rPr>
        <b/>
        <sz val="11"/>
        <color theme="1"/>
        <rFont val="Times New Roman"/>
        <family val="1"/>
        <charset val="186"/>
      </rPr>
      <t>Darbu vadītājs</t>
    </r>
    <r>
      <rPr>
        <sz val="11"/>
        <color theme="1"/>
        <rFont val="Times New Roman"/>
        <family val="1"/>
        <charset val="186"/>
      </rPr>
      <t xml:space="preserve"> pielīdzināts sociālajam rehabilitētājam, kas saskaņā ar</t>
    </r>
    <r>
      <rPr>
        <sz val="11"/>
        <color rgb="FF0070C0"/>
        <rFont val="Times New Roman"/>
        <family val="1"/>
        <charset val="186"/>
      </rPr>
      <t xml:space="preserve"> MK 26.04.2022. noteikumu Nr. 262</t>
    </r>
    <r>
      <rPr>
        <sz val="11"/>
        <color theme="1"/>
        <rFont val="Times New Roman"/>
        <family val="1"/>
        <charset val="186"/>
      </rPr>
      <t xml:space="preserve"> 106.4. apakšpunktu klasificējas 43.1. apakšsaimes III A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 xml:space="preserve">.
Papildus sociālais rehabilitētājs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</si>
  <si>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Sociālais rehabilitētajs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106.4. apakšpunktu klasificējas 43.1. apakšsaimes III A līmenī - 6. mēnešalgu grupa.
Atbilstoši Valsts kancelejas pārskatam “Mēnešalgu skalu salīdzinājums”  6. mēnešalgu grupai  </t>
    </r>
    <r>
      <rPr>
        <b/>
        <sz val="11"/>
        <color theme="1"/>
        <rFont val="Times New Roman"/>
        <family val="1"/>
        <charset val="186"/>
      </rPr>
      <t>viduspunkts 1081 EUR</t>
    </r>
    <r>
      <rPr>
        <sz val="11"/>
        <color theme="1"/>
        <rFont val="Times New Roman"/>
        <family val="1"/>
        <charset val="186"/>
      </rPr>
      <t xml:space="preserve">.
Papildus sociālais rehabilitētājs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pienākimi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</si>
  <si>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Sociālais darbinieks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106.9. apakšpunktu klasificējas 43.1. apakšsaimes V A līmenī - 9. mēnešalgu grupa.
Atbilstoši Valsts kancelejas pārskatam “Mēnešalgu skalu salīdzinājums” 9. mēnešalgu grupai </t>
    </r>
    <r>
      <rPr>
        <b/>
        <sz val="11"/>
        <color theme="1"/>
        <rFont val="Times New Roman"/>
        <family val="1"/>
        <charset val="186"/>
      </rPr>
      <t>viduspunkts 1653 EUR</t>
    </r>
    <r>
      <rPr>
        <sz val="11"/>
        <color theme="1"/>
        <rFont val="Times New Roman"/>
        <family val="1"/>
        <charset val="186"/>
      </rPr>
      <t xml:space="preserve">.
Papildus sociālais darbinieks saskaņā ar </t>
    </r>
    <r>
      <rPr>
        <sz val="11"/>
        <color rgb="FF0070C0"/>
        <rFont val="Times New Roman"/>
        <family val="1"/>
        <charset val="186"/>
      </rPr>
      <t>MK 21.06.2022. notiekumu Nr. 361</t>
    </r>
    <r>
      <rPr>
        <sz val="11"/>
        <color theme="1"/>
        <rFont val="Times New Roman"/>
        <family val="1"/>
        <charset val="186"/>
      </rPr>
      <t xml:space="preserve"> 22. punktu saņem piemaksu līdz 25 % apmērā no noteiktās mēnešalgas (jo amata pienākumi pielīdzināti darbam ilgstošas sociālās aprūpes un sociālās rehabilitācijas institūcijas pieaugušām personām ar garīga rakstura traucējumiem).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</si>
  <si>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rPr>
        <b/>
        <sz val="11"/>
        <color theme="1"/>
        <rFont val="Times New Roman"/>
        <family val="1"/>
        <charset val="186"/>
      </rPr>
      <t>Darbnīcas vadītājs</t>
    </r>
    <r>
      <rPr>
        <sz val="11"/>
        <color theme="1"/>
        <rFont val="Times New Roman"/>
        <family val="1"/>
        <charset val="186"/>
      </rPr>
      <t xml:space="preserve"> jeb vecākais sociālais darbinieks saskaņā ar </t>
    </r>
    <r>
      <rPr>
        <sz val="11"/>
        <color rgb="FF0070C0"/>
        <rFont val="Times New Roman"/>
        <family val="1"/>
        <charset val="186"/>
      </rPr>
      <t>MK 26.04.2022. noteikumu Nr. 262</t>
    </r>
    <r>
      <rPr>
        <sz val="11"/>
        <color theme="1"/>
        <rFont val="Times New Roman"/>
        <family val="1"/>
        <charset val="186"/>
      </rPr>
      <t xml:space="preserve"> 106.11. apakšpunktu klasificējas 43.1. apakšsaimes VI A līmenī - 10. mēnešalgu grupa.
Atbilstoši Valsts kancelejas pārskatam “Mēnešalgu skalu salīdzinājums” 10. mēnešalgu grupai </t>
    </r>
    <r>
      <rPr>
        <b/>
        <sz val="11"/>
        <color theme="1"/>
        <rFont val="Times New Roman"/>
        <family val="1"/>
        <charset val="186"/>
      </rPr>
      <t>viduspunkts 1999 EU</t>
    </r>
    <r>
      <rPr>
        <sz val="11"/>
        <color theme="1"/>
        <rFont val="Times New Roman"/>
        <family val="1"/>
        <charset val="186"/>
      </rPr>
      <t xml:space="preserve">R.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</si>
  <si>
    <r>
      <t xml:space="preserve">
G</t>
    </r>
    <r>
      <rPr>
        <b/>
        <sz val="11"/>
        <color theme="1"/>
        <rFont val="Times New Roman"/>
        <family val="1"/>
        <charset val="186"/>
      </rPr>
      <t>rāmatvedis</t>
    </r>
    <r>
      <rPr>
        <sz val="11"/>
        <color theme="1"/>
        <rFont val="Times New Roman"/>
        <family val="1"/>
        <charset val="186"/>
      </rPr>
      <t xml:space="preserve"> saskaņā ar </t>
    </r>
    <r>
      <rPr>
        <sz val="11"/>
        <color rgb="FF0070C0"/>
        <rFont val="Times New Roman"/>
        <family val="1"/>
        <charset val="186"/>
      </rPr>
      <t>MK 26.04.2022. noteikumu Nr. 262</t>
    </r>
    <r>
      <rPr>
        <sz val="11"/>
        <color theme="1"/>
        <rFont val="Times New Roman"/>
        <family val="1"/>
        <charset val="186"/>
      </rPr>
      <t xml:space="preserve"> 60.3.. apakšpunktu klasificējas 17. saimes III līmenī - 8. mēnešalgu grupa.
Atbilstoši Valsts kancelejas pārskatam “Mēnešalgu skalu salīdzinājums”  8. mēnešalgu grupai </t>
    </r>
    <r>
      <rPr>
        <b/>
        <sz val="11"/>
        <color theme="1"/>
        <rFont val="Times New Roman"/>
        <family val="1"/>
        <charset val="186"/>
      </rPr>
      <t>viduspunkts 1388 EUR</t>
    </r>
    <r>
      <rPr>
        <sz val="11"/>
        <color theme="1"/>
        <rFont val="Times New Roman"/>
        <family val="1"/>
        <charset val="186"/>
      </rPr>
      <t xml:space="preserve">.
Stundas likmi arpēķina atbilstoši </t>
    </r>
    <r>
      <rPr>
        <sz val="11"/>
        <color rgb="FF0070C0"/>
        <rFont val="Times New Roman"/>
        <family val="1"/>
        <charset val="186"/>
      </rPr>
      <t>Regulas Nr. 1303/2013</t>
    </r>
    <r>
      <rPr>
        <sz val="11"/>
        <color theme="1"/>
        <rFont val="Times New Roman"/>
        <family val="1"/>
        <charset val="186"/>
      </rPr>
      <t xml:space="preserve"> 68a panta 2. punktā noteiktajam, gada bruto izmaksas dalot ar 1 720 stundām.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</si>
</sst>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0"/>
      <name val="Arial"/>
      <charset val="186"/>
    </font>
    <font>
      <sz val="10"/>
      <name val="Arial"/>
      <family val="2"/>
      <charset val="186"/>
    </font>
    <font>
      <sz val="12"/>
      <name val="Times New Roman"/>
      <family val="1"/>
      <charset val="186"/>
    </font>
    <font>
      <sz val="11"/>
      <name val="Times New Roman"/>
      <family val="1"/>
      <charset val="186"/>
    </font>
    <font>
      <sz val="11"/>
      <color indexed="8"/>
      <name val="Times New Roman"/>
      <family val="1"/>
      <charset val="186"/>
    </font>
    <font>
      <b/>
      <sz val="11"/>
      <name val="Times New Roman"/>
      <family val="1"/>
      <charset val="186"/>
    </font>
    <font>
      <sz val="12"/>
      <name val="Arial"/>
      <family val="1"/>
      <charset val="186"/>
    </font>
    <font>
      <sz val="11"/>
      <name val="Times New Roman"/>
      <family val="1"/>
      <charset val="186"/>
    </font>
    <font>
      <i/>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0"/>
      <color theme="1"/>
      <name val="Arial"/>
      <family val="2"/>
      <charset val="186"/>
    </font>
    <font>
      <sz val="11"/>
      <color rgb="FF000000"/>
      <name val="Times New Roman"/>
      <family val="1"/>
      <charset val="186"/>
    </font>
    <font>
      <i/>
      <sz val="11"/>
      <color theme="1"/>
      <name val="Times New Roman"/>
      <family val="1"/>
      <charset val="186"/>
    </font>
    <font>
      <strike/>
      <sz val="11"/>
      <color theme="1"/>
      <name val="Times New Roman"/>
      <family val="1"/>
      <charset val="186"/>
    </font>
    <font>
      <b/>
      <strike/>
      <sz val="11"/>
      <color theme="1"/>
      <name val="Times New Roman"/>
      <family val="1"/>
      <charset val="186"/>
    </font>
    <font>
      <b/>
      <strike/>
      <sz val="11"/>
      <name val="Times New Roman"/>
      <family val="1"/>
      <charset val="186"/>
    </font>
    <font>
      <sz val="11"/>
      <color rgb="FF0070C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80">
    <xf numFmtId="0" fontId="0" fillId="0" borderId="0" xfId="0"/>
    <xf numFmtId="0" fontId="2" fillId="0" borderId="0" xfId="0" applyFont="1"/>
    <xf numFmtId="0" fontId="3" fillId="0" borderId="0" xfId="0" applyFont="1"/>
    <xf numFmtId="0" fontId="3" fillId="0" borderId="1" xfId="0" applyFont="1" applyBorder="1" applyAlignment="1">
      <alignment vertical="center" wrapText="1"/>
    </xf>
    <xf numFmtId="0" fontId="10" fillId="0" borderId="0" xfId="0" applyFont="1"/>
    <xf numFmtId="1" fontId="10" fillId="2" borderId="1" xfId="0" applyNumberFormat="1" applyFont="1" applyFill="1" applyBorder="1" applyAlignment="1">
      <alignment horizontal="center" vertical="center"/>
    </xf>
    <xf numFmtId="1" fontId="10" fillId="2" borderId="1" xfId="0" applyNumberFormat="1" applyFont="1" applyFill="1" applyBorder="1" applyAlignment="1">
      <alignment horizontal="center" vertical="center" wrapText="1"/>
    </xf>
    <xf numFmtId="0" fontId="10" fillId="0" borderId="1" xfId="0" applyFont="1" applyBorder="1"/>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horizontal="center"/>
    </xf>
    <xf numFmtId="0" fontId="3" fillId="0" borderId="0" xfId="0" applyFont="1" applyAlignment="1">
      <alignment horizontal="right" shrinkToFit="1"/>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2" fontId="3" fillId="0" borderId="0" xfId="0" applyNumberFormat="1" applyFont="1" applyAlignment="1">
      <alignment wrapText="1"/>
    </xf>
    <xf numFmtId="4" fontId="3" fillId="0" borderId="0" xfId="0" applyNumberFormat="1" applyFont="1"/>
    <xf numFmtId="0" fontId="12" fillId="0" borderId="0" xfId="0" applyFont="1"/>
    <xf numFmtId="2" fontId="11" fillId="0" borderId="17" xfId="0" applyNumberFormat="1" applyFont="1" applyBorder="1" applyAlignment="1">
      <alignment horizontal="center" vertical="center"/>
    </xf>
    <xf numFmtId="2" fontId="11" fillId="0" borderId="18" xfId="0" applyNumberFormat="1" applyFont="1" applyBorder="1" applyAlignment="1">
      <alignment horizontal="center" vertical="center"/>
    </xf>
    <xf numFmtId="2" fontId="11" fillId="0" borderId="19" xfId="0" applyNumberFormat="1" applyFont="1" applyBorder="1" applyAlignment="1">
      <alignment horizontal="center" vertical="center"/>
    </xf>
    <xf numFmtId="0" fontId="11" fillId="0" borderId="0" xfId="0" applyFont="1" applyAlignment="1">
      <alignment wrapText="1"/>
    </xf>
    <xf numFmtId="2" fontId="10"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0" fillId="0" borderId="10" xfId="0" applyFont="1" applyBorder="1" applyAlignment="1">
      <alignment horizontal="center" vertical="center"/>
    </xf>
    <xf numFmtId="0" fontId="11" fillId="0" borderId="1" xfId="0" applyFont="1" applyBorder="1" applyAlignment="1">
      <alignment horizontal="left" vertical="center" wrapText="1"/>
    </xf>
    <xf numFmtId="3" fontId="10" fillId="2" borderId="1" xfId="0" applyNumberFormat="1" applyFont="1" applyFill="1" applyBorder="1" applyAlignment="1">
      <alignment horizontal="center" vertical="center"/>
    </xf>
    <xf numFmtId="3"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0" fontId="7" fillId="0" borderId="0" xfId="0" applyFont="1"/>
    <xf numFmtId="0" fontId="11" fillId="3" borderId="1" xfId="0" applyFont="1" applyFill="1" applyBorder="1" applyAlignment="1">
      <alignment horizontal="center" vertical="center" wrapText="1"/>
    </xf>
    <xf numFmtId="4" fontId="11" fillId="3" borderId="1" xfId="0" applyNumberFormat="1" applyFont="1" applyFill="1" applyBorder="1" applyAlignment="1">
      <alignment horizontal="center" vertical="center"/>
    </xf>
    <xf numFmtId="9" fontId="11" fillId="3" borderId="1" xfId="1" applyFont="1" applyFill="1" applyBorder="1" applyAlignment="1">
      <alignment horizontal="center" vertical="center"/>
    </xf>
    <xf numFmtId="0" fontId="10" fillId="3" borderId="8" xfId="0" applyFont="1" applyFill="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vertical="center" wrapText="1"/>
    </xf>
    <xf numFmtId="0" fontId="13" fillId="0" borderId="1" xfId="0" applyFont="1" applyBorder="1" applyAlignment="1">
      <alignment wrapText="1"/>
    </xf>
    <xf numFmtId="0" fontId="11" fillId="3" borderId="1" xfId="0" applyFont="1" applyFill="1" applyBorder="1" applyAlignment="1">
      <alignment horizontal="right" wrapText="1"/>
    </xf>
    <xf numFmtId="0" fontId="11" fillId="0" borderId="11" xfId="0" applyFont="1" applyBorder="1"/>
    <xf numFmtId="0" fontId="10" fillId="0" borderId="11" xfId="0" applyFont="1" applyBorder="1"/>
    <xf numFmtId="0" fontId="10"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wrapText="1"/>
    </xf>
    <xf numFmtId="0" fontId="10" fillId="5" borderId="1" xfId="0" applyFont="1" applyFill="1" applyBorder="1" applyAlignment="1">
      <alignment horizontal="center" vertical="center"/>
    </xf>
    <xf numFmtId="164" fontId="11" fillId="0" borderId="1" xfId="0" applyNumberFormat="1" applyFont="1" applyBorder="1" applyAlignment="1">
      <alignment horizontal="center" vertical="center"/>
    </xf>
    <xf numFmtId="0" fontId="9" fillId="0" borderId="0" xfId="0" applyFont="1"/>
    <xf numFmtId="4" fontId="15" fillId="0" borderId="1" xfId="0" applyNumberFormat="1" applyFont="1" applyBorder="1" applyAlignment="1">
      <alignment horizontal="center" vertical="center"/>
    </xf>
    <xf numFmtId="4" fontId="15" fillId="0" borderId="6" xfId="0" applyNumberFormat="1" applyFont="1" applyBorder="1" applyAlignment="1">
      <alignment horizontal="center" vertical="center"/>
    </xf>
    <xf numFmtId="4" fontId="16" fillId="0" borderId="7" xfId="0" applyNumberFormat="1" applyFont="1" applyBorder="1" applyAlignment="1">
      <alignment horizontal="center" vertical="center"/>
    </xf>
    <xf numFmtId="4" fontId="15" fillId="0" borderId="8" xfId="0" applyNumberFormat="1" applyFont="1" applyBorder="1" applyAlignment="1">
      <alignment horizontal="center" vertical="center"/>
    </xf>
    <xf numFmtId="4" fontId="15" fillId="0" borderId="9" xfId="0" applyNumberFormat="1" applyFont="1" applyBorder="1" applyAlignment="1">
      <alignment horizontal="center" vertical="center"/>
    </xf>
    <xf numFmtId="4" fontId="17" fillId="0" borderId="7" xfId="0" applyNumberFormat="1" applyFont="1" applyBorder="1" applyAlignment="1">
      <alignment horizontal="center" vertical="center"/>
    </xf>
    <xf numFmtId="4" fontId="10" fillId="0" borderId="1" xfId="0" applyNumberFormat="1" applyFont="1" applyBorder="1" applyAlignment="1">
      <alignment horizontal="right" vertical="center"/>
    </xf>
    <xf numFmtId="4" fontId="10" fillId="0" borderId="6" xfId="0" applyNumberFormat="1" applyFont="1" applyBorder="1" applyAlignment="1">
      <alignment horizontal="right" vertical="center"/>
    </xf>
    <xf numFmtId="4" fontId="11" fillId="0" borderId="7" xfId="0" applyNumberFormat="1" applyFont="1" applyBorder="1" applyAlignment="1">
      <alignment horizontal="right" vertical="center"/>
    </xf>
    <xf numFmtId="4" fontId="10" fillId="0" borderId="8" xfId="0" applyNumberFormat="1" applyFont="1" applyBorder="1" applyAlignment="1">
      <alignment horizontal="right" vertical="center"/>
    </xf>
    <xf numFmtId="4" fontId="10" fillId="0" borderId="9" xfId="0" applyNumberFormat="1" applyFont="1" applyBorder="1" applyAlignment="1">
      <alignment horizontal="right" vertical="center"/>
    </xf>
    <xf numFmtId="4" fontId="10" fillId="4" borderId="6" xfId="0" applyNumberFormat="1" applyFont="1" applyFill="1" applyBorder="1" applyAlignment="1">
      <alignment horizontal="right" vertical="center"/>
    </xf>
    <xf numFmtId="4" fontId="5" fillId="0" borderId="7" xfId="0" applyNumberFormat="1" applyFont="1" applyBorder="1" applyAlignment="1">
      <alignment horizontal="right" vertical="center"/>
    </xf>
    <xf numFmtId="4" fontId="10" fillId="4" borderId="1" xfId="0" applyNumberFormat="1" applyFont="1" applyFill="1" applyBorder="1" applyAlignment="1">
      <alignment horizontal="right" vertical="center"/>
    </xf>
    <xf numFmtId="0" fontId="10" fillId="0" borderId="5" xfId="0" applyFont="1" applyBorder="1" applyAlignment="1">
      <alignment horizontal="right"/>
    </xf>
    <xf numFmtId="0" fontId="10" fillId="0" borderId="1" xfId="0" applyFont="1" applyBorder="1" applyAlignment="1">
      <alignment horizontal="right"/>
    </xf>
    <xf numFmtId="2" fontId="10" fillId="0" borderId="1" xfId="0" applyNumberFormat="1" applyFont="1" applyBorder="1" applyAlignment="1">
      <alignment horizontal="right"/>
    </xf>
    <xf numFmtId="4" fontId="10" fillId="4" borderId="8" xfId="0" applyNumberFormat="1" applyFont="1" applyFill="1" applyBorder="1" applyAlignment="1">
      <alignment horizontal="right" vertical="center"/>
    </xf>
    <xf numFmtId="0" fontId="10" fillId="4" borderId="5" xfId="0" applyFont="1" applyFill="1" applyBorder="1" applyAlignment="1">
      <alignment horizontal="right"/>
    </xf>
    <xf numFmtId="0" fontId="10" fillId="4" borderId="1" xfId="0" applyFont="1" applyFill="1" applyBorder="1" applyAlignment="1">
      <alignment horizontal="right"/>
    </xf>
    <xf numFmtId="4" fontId="10" fillId="4" borderId="9" xfId="0" applyNumberFormat="1" applyFont="1" applyFill="1" applyBorder="1" applyAlignment="1">
      <alignment horizontal="right" vertical="center"/>
    </xf>
    <xf numFmtId="0" fontId="10" fillId="0" borderId="1" xfId="0" applyFont="1" applyBorder="1" applyAlignment="1">
      <alignment horizontal="left" vertical="center"/>
    </xf>
    <xf numFmtId="2" fontId="3" fillId="0" borderId="0" xfId="0" applyNumberFormat="1" applyFont="1"/>
    <xf numFmtId="0" fontId="3" fillId="0" borderId="1" xfId="0" applyFont="1" applyBorder="1" applyAlignment="1">
      <alignment horizontal="left" vertical="center" wrapText="1"/>
    </xf>
    <xf numFmtId="0" fontId="3" fillId="0" borderId="0" xfId="0" applyFont="1" applyAlignment="1">
      <alignment horizontal="right"/>
    </xf>
    <xf numFmtId="0" fontId="5" fillId="5"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Border="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3" fillId="5" borderId="14" xfId="0" applyFont="1" applyFill="1" applyBorder="1" applyAlignment="1">
      <alignment horizontal="center" vertical="center"/>
    </xf>
    <xf numFmtId="0" fontId="11" fillId="3" borderId="6" xfId="0" applyFont="1" applyFill="1" applyBorder="1" applyAlignment="1">
      <alignment horizontal="center" vertical="center" wrapText="1"/>
    </xf>
    <xf numFmtId="0" fontId="10" fillId="0" borderId="1" xfId="0" applyFont="1" applyFill="1" applyBorder="1" applyAlignment="1">
      <alignment horizontal="left" wrapText="1"/>
    </xf>
    <xf numFmtId="0" fontId="3" fillId="0" borderId="1" xfId="0" applyFont="1" applyFill="1" applyBorder="1" applyAlignment="1">
      <alignment horizontal="left" vertical="center" wrapText="1"/>
    </xf>
    <xf numFmtId="2" fontId="10" fillId="0" borderId="1" xfId="1" applyNumberFormat="1" applyFont="1" applyFill="1" applyBorder="1" applyAlignment="1">
      <alignment horizontal="right" vertical="center"/>
    </xf>
    <xf numFmtId="2" fontId="10" fillId="2"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11" fillId="0" borderId="0" xfId="0" applyFont="1" applyAlignment="1">
      <alignment horizontal="center"/>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8" fillId="0" borderId="0" xfId="0" applyFont="1" applyAlignment="1">
      <alignment horizontal="right" vertical="center"/>
    </xf>
    <xf numFmtId="0" fontId="3" fillId="0"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2" fontId="10" fillId="0" borderId="2" xfId="0" applyNumberFormat="1" applyFont="1" applyFill="1" applyBorder="1" applyAlignment="1">
      <alignment horizontal="center" vertical="center"/>
    </xf>
    <xf numFmtId="2" fontId="10" fillId="0" borderId="13" xfId="0" applyNumberFormat="1" applyFont="1" applyFill="1" applyBorder="1" applyAlignment="1">
      <alignment horizontal="center" vertical="center"/>
    </xf>
    <xf numFmtId="2" fontId="10" fillId="0" borderId="10"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Alignment="1">
      <alignment horizontal="left"/>
    </xf>
    <xf numFmtId="0" fontId="11" fillId="0" borderId="15" xfId="0" applyFont="1" applyBorder="1" applyAlignment="1">
      <alignment horizontal="center" vertical="center" wrapText="1"/>
    </xf>
    <xf numFmtId="165" fontId="10" fillId="0" borderId="2" xfId="0" applyNumberFormat="1" applyFont="1" applyFill="1" applyBorder="1" applyAlignment="1">
      <alignment horizontal="center" vertical="center"/>
    </xf>
    <xf numFmtId="165" fontId="10" fillId="0" borderId="13" xfId="0" applyNumberFormat="1" applyFont="1" applyFill="1" applyBorder="1" applyAlignment="1">
      <alignment horizontal="center" vertical="center"/>
    </xf>
    <xf numFmtId="165" fontId="10" fillId="0" borderId="10" xfId="0" applyNumberFormat="1" applyFont="1" applyFill="1" applyBorder="1" applyAlignment="1">
      <alignment horizontal="center" vertical="center"/>
    </xf>
    <xf numFmtId="4" fontId="10" fillId="0" borderId="2" xfId="0" applyNumberFormat="1" applyFont="1" applyFill="1" applyBorder="1" applyAlignment="1">
      <alignment horizontal="center" vertical="center"/>
    </xf>
    <xf numFmtId="4" fontId="10" fillId="0" borderId="13"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0" xfId="0" applyFont="1" applyFill="1" applyBorder="1" applyAlignment="1">
      <alignment horizontal="center" vertical="center"/>
    </xf>
    <xf numFmtId="4" fontId="11" fillId="3" borderId="6" xfId="0" applyNumberFormat="1" applyFont="1" applyFill="1" applyBorder="1" applyAlignment="1">
      <alignment horizontal="center"/>
    </xf>
    <xf numFmtId="4" fontId="11" fillId="3" borderId="8" xfId="0" applyNumberFormat="1" applyFont="1" applyFill="1" applyBorder="1" applyAlignment="1">
      <alignment horizontal="center"/>
    </xf>
    <xf numFmtId="9" fontId="11" fillId="3" borderId="6" xfId="1" applyFont="1" applyFill="1" applyBorder="1" applyAlignment="1">
      <alignment horizontal="center" vertical="center"/>
    </xf>
    <xf numFmtId="9" fontId="11" fillId="3" borderId="9" xfId="1" applyFont="1" applyFill="1" applyBorder="1" applyAlignment="1">
      <alignment horizontal="center" vertical="center"/>
    </xf>
    <xf numFmtId="9" fontId="11" fillId="3" borderId="8" xfId="1" applyFont="1" applyFill="1" applyBorder="1" applyAlignment="1">
      <alignment horizontal="center" vertical="center"/>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0" fontId="10" fillId="0" borderId="4" xfId="0" applyFont="1" applyBorder="1" applyAlignment="1">
      <alignment horizontal="left" vertical="center" wrapText="1"/>
    </xf>
    <xf numFmtId="0" fontId="10" fillId="0" borderId="20" xfId="0" applyFont="1" applyBorder="1" applyAlignment="1">
      <alignment horizontal="left" vertical="center" wrapText="1"/>
    </xf>
    <xf numFmtId="0" fontId="10" fillId="0" borderId="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15" xfId="0" applyFont="1" applyBorder="1" applyAlignment="1">
      <alignment horizontal="left" vertical="center" wrapText="1"/>
    </xf>
    <xf numFmtId="0" fontId="10" fillId="0" borderId="23"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0" borderId="0" xfId="0" applyFont="1" applyFill="1" applyAlignment="1">
      <alignment horizontal="left" vertical="center" wrapText="1"/>
    </xf>
    <xf numFmtId="0" fontId="11" fillId="0" borderId="0" xfId="0" applyFont="1" applyAlignment="1">
      <alignment horizontal="center" vertical="center" wrapText="1"/>
    </xf>
    <xf numFmtId="0" fontId="14" fillId="0" borderId="0" xfId="0" applyFont="1" applyAlignment="1">
      <alignment horizontal="right" vertical="center"/>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left"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0" fillId="2" borderId="3" xfId="0" applyFont="1" applyFill="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2" fontId="3" fillId="0" borderId="6" xfId="0" applyNumberFormat="1" applyFont="1" applyBorder="1" applyAlignment="1">
      <alignment horizontal="left" vertical="center" wrapText="1"/>
    </xf>
    <xf numFmtId="2" fontId="3" fillId="0" borderId="8" xfId="0" applyNumberFormat="1" applyFont="1" applyBorder="1" applyAlignment="1">
      <alignment horizontal="left" vertical="center" wrapText="1"/>
    </xf>
    <xf numFmtId="2" fontId="5" fillId="0" borderId="6" xfId="0" applyNumberFormat="1" applyFont="1" applyBorder="1" applyAlignment="1">
      <alignment horizontal="left" vertical="center" wrapText="1"/>
    </xf>
    <xf numFmtId="2" fontId="5" fillId="0" borderId="8" xfId="0" applyNumberFormat="1" applyFont="1" applyBorder="1" applyAlignment="1">
      <alignment horizontal="left" vertical="center" wrapText="1"/>
    </xf>
    <xf numFmtId="0" fontId="5" fillId="0" borderId="0" xfId="0" applyFont="1" applyAlignment="1">
      <alignment horizontal="center" wrapText="1"/>
    </xf>
    <xf numFmtId="0" fontId="8" fillId="0" borderId="0" xfId="0" applyFont="1" applyAlignment="1">
      <alignment horizontal="right" vertical="center" shrinkToFit="1"/>
    </xf>
    <xf numFmtId="0" fontId="3" fillId="0" borderId="6" xfId="0" applyFont="1" applyBorder="1" applyAlignment="1">
      <alignment horizontal="left" vertical="center"/>
    </xf>
    <xf numFmtId="0" fontId="3" fillId="0" borderId="8" xfId="0" applyFont="1" applyBorder="1" applyAlignment="1">
      <alignment horizontal="left" vertical="center"/>
    </xf>
    <xf numFmtId="0" fontId="14" fillId="0" borderId="0" xfId="0" applyFont="1" applyAlignment="1">
      <alignment horizontal="right"/>
    </xf>
    <xf numFmtId="0" fontId="10" fillId="0" borderId="0" xfId="0" applyFont="1" applyAlignment="1">
      <alignment horizontal="left" vertical="center" wrapText="1"/>
    </xf>
    <xf numFmtId="0" fontId="10" fillId="0" borderId="0" xfId="0" applyFont="1" applyAlignment="1">
      <alignment horizontal="left" vertical="center"/>
    </xf>
    <xf numFmtId="4" fontId="10" fillId="0" borderId="2" xfId="0" applyNumberFormat="1" applyFont="1" applyBorder="1" applyAlignment="1">
      <alignment horizontal="center" vertical="center"/>
    </xf>
    <xf numFmtId="4" fontId="10" fillId="0" borderId="10"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3" fontId="10" fillId="0" borderId="1" xfId="0" applyNumberFormat="1" applyFont="1" applyBorder="1" applyAlignment="1">
      <alignment horizontal="center" vertical="center"/>
    </xf>
    <xf numFmtId="0" fontId="10" fillId="0" borderId="6" xfId="0" applyFont="1" applyBorder="1" applyAlignment="1">
      <alignment horizontal="justify" vertical="center" wrapText="1"/>
    </xf>
    <xf numFmtId="0" fontId="10" fillId="0" borderId="8" xfId="0" applyFont="1"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colors>
    <mruColors>
      <color rgb="FFFFFF99"/>
      <color rgb="FF33F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auma Lazdiņa" id="{036C5782-C293-4200-A2D3-1C160250F795}" userId="S::lauma.lazdina@fm.gov.lv::b4f9f0bc-3123-4e03-8258-06bf965f37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6" dT="2022-08-18T14:04:50.82" personId="{036C5782-C293-4200-A2D3-1C160250F795}" id="{12C93446-5399-432B-BFCB-FF55147CFD74}">
    <text>Atbilstoši mēnešalgu skalu salīdzinājumam 10.mēnešalgu grupai viduspunkts noteikts 1859 EUR apmērā. Lūdzam precizēt te un aprēķinos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90" zoomScaleNormal="90" workbookViewId="0">
      <selection sqref="A1:B1"/>
    </sheetView>
  </sheetViews>
  <sheetFormatPr defaultColWidth="9.1796875" defaultRowHeight="14" x14ac:dyDescent="0.3"/>
  <cols>
    <col min="1" max="1" width="13" style="55" customWidth="1"/>
    <col min="2" max="2" width="70.26953125" style="55" customWidth="1"/>
    <col min="3" max="16384" width="9.1796875" style="55"/>
  </cols>
  <sheetData>
    <row r="1" spans="1:2" x14ac:dyDescent="0.3">
      <c r="A1" s="98" t="s">
        <v>0</v>
      </c>
      <c r="B1" s="98"/>
    </row>
    <row r="2" spans="1:2" x14ac:dyDescent="0.3">
      <c r="A2" s="95" t="s">
        <v>1</v>
      </c>
      <c r="B2" s="95"/>
    </row>
    <row r="3" spans="1:2" ht="28" x14ac:dyDescent="0.3">
      <c r="A3" s="79" t="s">
        <v>2</v>
      </c>
      <c r="B3" s="3" t="s">
        <v>3</v>
      </c>
    </row>
    <row r="4" spans="1:2" ht="181.5" customHeight="1" x14ac:dyDescent="0.3">
      <c r="A4" s="79" t="s">
        <v>4</v>
      </c>
      <c r="B4" s="43" t="s">
        <v>5</v>
      </c>
    </row>
    <row r="5" spans="1:2" ht="28" x14ac:dyDescent="0.3">
      <c r="A5" s="96" t="s">
        <v>6</v>
      </c>
      <c r="B5" s="3" t="s">
        <v>7</v>
      </c>
    </row>
    <row r="6" spans="1:2" ht="42" x14ac:dyDescent="0.3">
      <c r="A6" s="97"/>
      <c r="B6" s="3" t="s">
        <v>8</v>
      </c>
    </row>
  </sheetData>
  <mergeCells count="3">
    <mergeCell ref="A2:B2"/>
    <mergeCell ref="A5:A6"/>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65" zoomScaleNormal="65" workbookViewId="0">
      <selection sqref="A1:G1"/>
    </sheetView>
  </sheetViews>
  <sheetFormatPr defaultColWidth="9.1796875" defaultRowHeight="14" x14ac:dyDescent="0.3"/>
  <cols>
    <col min="1" max="1" width="31.7265625" style="38" customWidth="1"/>
    <col min="2" max="2" width="9.1796875" style="38"/>
    <col min="3" max="3" width="10.1796875" style="38" bestFit="1" customWidth="1"/>
    <col min="4" max="4" width="10.7265625" style="38" customWidth="1"/>
    <col min="5" max="5" width="36.81640625" style="38" customWidth="1"/>
    <col min="6" max="6" width="76.453125" style="38" customWidth="1"/>
    <col min="7" max="7" width="53.453125" style="38" customWidth="1"/>
    <col min="8" max="16384" width="9.1796875" style="38"/>
  </cols>
  <sheetData>
    <row r="1" spans="1:10" x14ac:dyDescent="0.3">
      <c r="A1" s="98" t="s">
        <v>9</v>
      </c>
      <c r="B1" s="98"/>
      <c r="C1" s="98"/>
      <c r="D1" s="98"/>
      <c r="E1" s="98"/>
      <c r="F1" s="98"/>
      <c r="G1" s="98"/>
      <c r="H1" s="80"/>
      <c r="I1" s="2"/>
      <c r="J1" s="2"/>
    </row>
    <row r="2" spans="1:10" x14ac:dyDescent="0.3">
      <c r="A2" s="115" t="s">
        <v>10</v>
      </c>
      <c r="B2" s="115"/>
      <c r="C2" s="115"/>
      <c r="D2" s="115"/>
      <c r="E2" s="115"/>
      <c r="F2" s="115"/>
      <c r="G2" s="115"/>
      <c r="H2" s="2"/>
      <c r="I2" s="2"/>
      <c r="J2" s="2"/>
    </row>
    <row r="3" spans="1:10" ht="42" x14ac:dyDescent="0.3">
      <c r="A3" s="86"/>
      <c r="B3" s="85" t="s">
        <v>11</v>
      </c>
      <c r="C3" s="85" t="s">
        <v>12</v>
      </c>
      <c r="D3" s="81"/>
      <c r="E3" s="85" t="s">
        <v>13</v>
      </c>
      <c r="F3" s="84" t="s">
        <v>14</v>
      </c>
      <c r="G3" s="84" t="s">
        <v>15</v>
      </c>
      <c r="H3" s="2"/>
      <c r="I3" s="2"/>
      <c r="J3" s="2"/>
    </row>
    <row r="4" spans="1:10" x14ac:dyDescent="0.3">
      <c r="A4" s="39" t="s">
        <v>16</v>
      </c>
      <c r="B4" s="39">
        <f>SUM(B14:B47)</f>
        <v>2.2000000000000002</v>
      </c>
      <c r="C4" s="40">
        <f>C5+C14+C23+C32+C40</f>
        <v>18.709999999999997</v>
      </c>
      <c r="D4" s="41"/>
      <c r="E4" s="39"/>
      <c r="F4" s="87" t="s">
        <v>139</v>
      </c>
      <c r="G4" s="42"/>
      <c r="H4" s="2"/>
      <c r="I4" s="2"/>
      <c r="J4" s="2"/>
    </row>
    <row r="5" spans="1:10" s="2" customFormat="1" ht="17.5" customHeight="1" x14ac:dyDescent="0.3">
      <c r="A5" s="99" t="s">
        <v>17</v>
      </c>
      <c r="B5" s="99">
        <v>1</v>
      </c>
      <c r="C5" s="119">
        <f>D13</f>
        <v>5.83</v>
      </c>
      <c r="D5" s="90">
        <v>1081</v>
      </c>
      <c r="E5" s="88" t="s">
        <v>18</v>
      </c>
      <c r="F5" s="108" t="s">
        <v>143</v>
      </c>
      <c r="G5" s="111" t="s">
        <v>19</v>
      </c>
      <c r="H5" s="78"/>
      <c r="I5" s="78"/>
    </row>
    <row r="6" spans="1:10" s="2" customFormat="1" ht="17.5" customHeight="1" x14ac:dyDescent="0.3">
      <c r="A6" s="100"/>
      <c r="B6" s="100"/>
      <c r="C6" s="120"/>
      <c r="D6" s="90">
        <f>ROUND(D5*25%,2)</f>
        <v>270.25</v>
      </c>
      <c r="E6" s="88" t="s">
        <v>20</v>
      </c>
      <c r="F6" s="109"/>
      <c r="G6" s="112"/>
      <c r="H6" s="78"/>
      <c r="I6" s="78"/>
    </row>
    <row r="7" spans="1:10" s="2" customFormat="1" ht="17.5" customHeight="1" x14ac:dyDescent="0.3">
      <c r="A7" s="100"/>
      <c r="B7" s="100"/>
      <c r="C7" s="120"/>
      <c r="D7" s="90">
        <f>SUM(D5:D6)</f>
        <v>1351.25</v>
      </c>
      <c r="E7" s="88" t="s">
        <v>21</v>
      </c>
      <c r="F7" s="109"/>
      <c r="G7" s="112"/>
      <c r="H7" s="78"/>
      <c r="I7" s="78"/>
    </row>
    <row r="8" spans="1:10" s="2" customFormat="1" ht="17.5" customHeight="1" x14ac:dyDescent="0.3">
      <c r="A8" s="100"/>
      <c r="B8" s="100"/>
      <c r="C8" s="120"/>
      <c r="D8" s="90">
        <f>ROUND(D7*23.59%,2)</f>
        <v>318.76</v>
      </c>
      <c r="E8" s="88" t="s">
        <v>22</v>
      </c>
      <c r="F8" s="109"/>
      <c r="G8" s="112"/>
      <c r="H8" s="78"/>
      <c r="I8" s="78"/>
    </row>
    <row r="9" spans="1:10" s="2" customFormat="1" ht="17.5" customHeight="1" x14ac:dyDescent="0.3">
      <c r="A9" s="100"/>
      <c r="B9" s="100"/>
      <c r="C9" s="120"/>
      <c r="D9" s="90">
        <f>SUM(D7:D8)</f>
        <v>1670.01</v>
      </c>
      <c r="E9" s="88" t="s">
        <v>23</v>
      </c>
      <c r="F9" s="109"/>
      <c r="G9" s="112"/>
      <c r="H9" s="78"/>
      <c r="I9" s="78"/>
    </row>
    <row r="10" spans="1:10" s="2" customFormat="1" ht="17.5" customHeight="1" x14ac:dyDescent="0.3">
      <c r="A10" s="100"/>
      <c r="B10" s="100"/>
      <c r="C10" s="120"/>
      <c r="D10" s="90">
        <f>D9*12</f>
        <v>20040.12</v>
      </c>
      <c r="E10" s="89" t="s">
        <v>24</v>
      </c>
      <c r="F10" s="109"/>
      <c r="G10" s="112"/>
      <c r="H10" s="78"/>
      <c r="I10" s="78"/>
    </row>
    <row r="11" spans="1:10" s="2" customFormat="1" ht="17.5" customHeight="1" x14ac:dyDescent="0.3">
      <c r="A11" s="100"/>
      <c r="B11" s="100"/>
      <c r="C11" s="120"/>
      <c r="D11" s="90">
        <f>ROUND(D10/1720,2)</f>
        <v>11.65</v>
      </c>
      <c r="E11" s="89" t="s">
        <v>36</v>
      </c>
      <c r="F11" s="109"/>
      <c r="G11" s="112"/>
      <c r="H11" s="78"/>
      <c r="I11" s="78"/>
    </row>
    <row r="12" spans="1:10" s="2" customFormat="1" ht="17.5" customHeight="1" x14ac:dyDescent="0.3">
      <c r="A12" s="100"/>
      <c r="B12" s="100"/>
      <c r="C12" s="120"/>
      <c r="D12" s="90">
        <f>ROUND(D11*8,2)</f>
        <v>93.2</v>
      </c>
      <c r="E12" s="89" t="s">
        <v>135</v>
      </c>
      <c r="F12" s="109"/>
      <c r="G12" s="112"/>
      <c r="H12" s="78"/>
      <c r="I12" s="78"/>
    </row>
    <row r="13" spans="1:10" s="2" customFormat="1" ht="41.5" customHeight="1" x14ac:dyDescent="0.3">
      <c r="A13" s="100"/>
      <c r="B13" s="100"/>
      <c r="C13" s="120"/>
      <c r="D13" s="90">
        <f>ROUND(D12/16,2)</f>
        <v>5.83</v>
      </c>
      <c r="E13" s="89" t="s">
        <v>136</v>
      </c>
      <c r="F13" s="109"/>
      <c r="G13" s="112"/>
      <c r="H13" s="78"/>
      <c r="I13" s="78"/>
    </row>
    <row r="14" spans="1:10" s="2" customFormat="1" ht="17.5" customHeight="1" x14ac:dyDescent="0.3">
      <c r="A14" s="121" t="s">
        <v>26</v>
      </c>
      <c r="B14" s="124">
        <v>1</v>
      </c>
      <c r="C14" s="105">
        <f>D22</f>
        <v>2.91</v>
      </c>
      <c r="D14" s="90">
        <v>1081</v>
      </c>
      <c r="E14" s="88" t="s">
        <v>18</v>
      </c>
      <c r="F14" s="108" t="s">
        <v>144</v>
      </c>
      <c r="G14" s="111" t="s">
        <v>27</v>
      </c>
      <c r="H14" s="78"/>
      <c r="I14" s="78"/>
      <c r="J14" s="78"/>
    </row>
    <row r="15" spans="1:10" s="2" customFormat="1" ht="17.5" customHeight="1" x14ac:dyDescent="0.3">
      <c r="A15" s="122"/>
      <c r="B15" s="125"/>
      <c r="C15" s="106"/>
      <c r="D15" s="90">
        <f>ROUND(D14*25%,2)</f>
        <v>270.25</v>
      </c>
      <c r="E15" s="88" t="s">
        <v>20</v>
      </c>
      <c r="F15" s="109"/>
      <c r="G15" s="112"/>
      <c r="H15" s="78"/>
      <c r="I15" s="78"/>
      <c r="J15" s="78"/>
    </row>
    <row r="16" spans="1:10" s="2" customFormat="1" ht="17.5" customHeight="1" x14ac:dyDescent="0.3">
      <c r="A16" s="122"/>
      <c r="B16" s="125"/>
      <c r="C16" s="106"/>
      <c r="D16" s="90">
        <f>SUM(D14:D15)</f>
        <v>1351.25</v>
      </c>
      <c r="E16" s="88" t="s">
        <v>21</v>
      </c>
      <c r="F16" s="109"/>
      <c r="G16" s="112"/>
      <c r="H16" s="78"/>
      <c r="I16" s="78"/>
      <c r="J16" s="78"/>
    </row>
    <row r="17" spans="1:10" s="2" customFormat="1" ht="17.5" customHeight="1" x14ac:dyDescent="0.3">
      <c r="A17" s="122"/>
      <c r="B17" s="125"/>
      <c r="C17" s="106"/>
      <c r="D17" s="90">
        <f>ROUND(D16*23.59%,2)</f>
        <v>318.76</v>
      </c>
      <c r="E17" s="88" t="s">
        <v>22</v>
      </c>
      <c r="F17" s="109"/>
      <c r="G17" s="112"/>
      <c r="H17" s="78"/>
      <c r="I17" s="78"/>
      <c r="J17" s="78"/>
    </row>
    <row r="18" spans="1:10" s="2" customFormat="1" ht="17.5" customHeight="1" x14ac:dyDescent="0.3">
      <c r="A18" s="122"/>
      <c r="B18" s="125"/>
      <c r="C18" s="106"/>
      <c r="D18" s="90">
        <f>SUM(D16:D17)</f>
        <v>1670.01</v>
      </c>
      <c r="E18" s="88" t="s">
        <v>23</v>
      </c>
      <c r="F18" s="109"/>
      <c r="G18" s="112"/>
      <c r="H18" s="78"/>
      <c r="I18" s="78"/>
      <c r="J18" s="78"/>
    </row>
    <row r="19" spans="1:10" s="2" customFormat="1" ht="17.5" customHeight="1" x14ac:dyDescent="0.3">
      <c r="A19" s="122"/>
      <c r="B19" s="125"/>
      <c r="C19" s="106"/>
      <c r="D19" s="90">
        <f>ROUND(D18*12,2)</f>
        <v>20040.12</v>
      </c>
      <c r="E19" s="89" t="s">
        <v>24</v>
      </c>
      <c r="F19" s="109"/>
      <c r="G19" s="112"/>
      <c r="H19" s="78"/>
      <c r="I19" s="78"/>
      <c r="J19" s="78"/>
    </row>
    <row r="20" spans="1:10" s="2" customFormat="1" ht="17.5" customHeight="1" x14ac:dyDescent="0.3">
      <c r="A20" s="122"/>
      <c r="B20" s="125"/>
      <c r="C20" s="106"/>
      <c r="D20" s="90">
        <f>ROUND(D19/1720,2)</f>
        <v>11.65</v>
      </c>
      <c r="E20" s="89" t="s">
        <v>28</v>
      </c>
      <c r="F20" s="109"/>
      <c r="G20" s="112"/>
      <c r="H20" s="78"/>
      <c r="I20" s="78"/>
      <c r="J20" s="78"/>
    </row>
    <row r="21" spans="1:10" s="2" customFormat="1" ht="17.5" customHeight="1" x14ac:dyDescent="0.3">
      <c r="A21" s="122"/>
      <c r="B21" s="125"/>
      <c r="C21" s="106"/>
      <c r="D21" s="90">
        <f>ROUND(D20*4,2)</f>
        <v>46.6</v>
      </c>
      <c r="E21" s="89" t="s">
        <v>29</v>
      </c>
      <c r="F21" s="109"/>
      <c r="G21" s="112"/>
      <c r="H21" s="78"/>
      <c r="I21" s="78"/>
      <c r="J21" s="78"/>
    </row>
    <row r="22" spans="1:10" s="2" customFormat="1" ht="26" customHeight="1" x14ac:dyDescent="0.3">
      <c r="A22" s="123"/>
      <c r="B22" s="126"/>
      <c r="C22" s="107"/>
      <c r="D22" s="90">
        <f>ROUND(D21/16,2)</f>
        <v>2.91</v>
      </c>
      <c r="E22" s="89" t="s">
        <v>30</v>
      </c>
      <c r="F22" s="110"/>
      <c r="G22" s="113"/>
      <c r="H22" s="78"/>
      <c r="I22" s="78"/>
      <c r="J22" s="78"/>
    </row>
    <row r="23" spans="1:10" s="2" customFormat="1" ht="17.5" customHeight="1" x14ac:dyDescent="0.3">
      <c r="A23" s="99" t="s">
        <v>31</v>
      </c>
      <c r="B23" s="102">
        <v>0.5</v>
      </c>
      <c r="C23" s="105">
        <f>D31</f>
        <v>4.46</v>
      </c>
      <c r="D23" s="90">
        <v>1653</v>
      </c>
      <c r="E23" s="88" t="s">
        <v>18</v>
      </c>
      <c r="F23" s="108" t="s">
        <v>145</v>
      </c>
      <c r="G23" s="111" t="s">
        <v>32</v>
      </c>
      <c r="H23" s="78"/>
      <c r="I23" s="78"/>
    </row>
    <row r="24" spans="1:10" s="2" customFormat="1" ht="17.5" customHeight="1" x14ac:dyDescent="0.3">
      <c r="A24" s="100"/>
      <c r="B24" s="103"/>
      <c r="C24" s="106"/>
      <c r="D24" s="90">
        <f>ROUND(D23*25%,2)</f>
        <v>413.25</v>
      </c>
      <c r="E24" s="88" t="s">
        <v>20</v>
      </c>
      <c r="F24" s="109"/>
      <c r="G24" s="112"/>
      <c r="H24" s="78"/>
      <c r="I24" s="78"/>
    </row>
    <row r="25" spans="1:10" s="2" customFormat="1" ht="17.5" customHeight="1" x14ac:dyDescent="0.3">
      <c r="A25" s="100"/>
      <c r="B25" s="103"/>
      <c r="C25" s="106"/>
      <c r="D25" s="90">
        <f>SUM(D23:D24)</f>
        <v>2066.25</v>
      </c>
      <c r="E25" s="88" t="s">
        <v>21</v>
      </c>
      <c r="F25" s="109"/>
      <c r="G25" s="112"/>
      <c r="H25" s="78"/>
      <c r="I25" s="78"/>
    </row>
    <row r="26" spans="1:10" s="2" customFormat="1" ht="17.5" customHeight="1" x14ac:dyDescent="0.3">
      <c r="A26" s="100"/>
      <c r="B26" s="103"/>
      <c r="C26" s="106"/>
      <c r="D26" s="90">
        <f>ROUND(D25*23.59%,2)</f>
        <v>487.43</v>
      </c>
      <c r="E26" s="88" t="s">
        <v>22</v>
      </c>
      <c r="F26" s="109"/>
      <c r="G26" s="112"/>
      <c r="H26" s="78"/>
      <c r="I26" s="78"/>
    </row>
    <row r="27" spans="1:10" s="2" customFormat="1" ht="17.5" customHeight="1" x14ac:dyDescent="0.3">
      <c r="A27" s="100"/>
      <c r="B27" s="103"/>
      <c r="C27" s="106"/>
      <c r="D27" s="90">
        <f>SUM(D25:D26)</f>
        <v>2553.6799999999998</v>
      </c>
      <c r="E27" s="88" t="s">
        <v>23</v>
      </c>
      <c r="F27" s="109"/>
      <c r="G27" s="112"/>
      <c r="H27" s="78"/>
      <c r="I27" s="78"/>
    </row>
    <row r="28" spans="1:10" s="2" customFormat="1" ht="17.5" customHeight="1" x14ac:dyDescent="0.3">
      <c r="A28" s="100"/>
      <c r="B28" s="103"/>
      <c r="C28" s="106"/>
      <c r="D28" s="90">
        <f>D27*12</f>
        <v>30644.159999999996</v>
      </c>
      <c r="E28" s="89" t="s">
        <v>24</v>
      </c>
      <c r="F28" s="109"/>
      <c r="G28" s="112"/>
      <c r="H28" s="78"/>
      <c r="I28" s="78"/>
    </row>
    <row r="29" spans="1:10" s="2" customFormat="1" ht="17.5" customHeight="1" x14ac:dyDescent="0.3">
      <c r="A29" s="100"/>
      <c r="B29" s="103"/>
      <c r="C29" s="106"/>
      <c r="D29" s="90">
        <f>ROUND(D28/1720,2)</f>
        <v>17.82</v>
      </c>
      <c r="E29" s="89" t="s">
        <v>28</v>
      </c>
      <c r="F29" s="109"/>
      <c r="G29" s="112"/>
      <c r="H29" s="78"/>
      <c r="I29" s="78"/>
    </row>
    <row r="30" spans="1:10" s="2" customFormat="1" ht="17.5" customHeight="1" x14ac:dyDescent="0.3">
      <c r="A30" s="100"/>
      <c r="B30" s="103"/>
      <c r="C30" s="106"/>
      <c r="D30" s="90">
        <f>D29*4</f>
        <v>71.28</v>
      </c>
      <c r="E30" s="89" t="s">
        <v>137</v>
      </c>
      <c r="F30" s="109"/>
      <c r="G30" s="112"/>
      <c r="H30" s="78"/>
      <c r="I30" s="78"/>
    </row>
    <row r="31" spans="1:10" s="2" customFormat="1" ht="22" customHeight="1" x14ac:dyDescent="0.3">
      <c r="A31" s="100"/>
      <c r="B31" s="103"/>
      <c r="C31" s="106"/>
      <c r="D31" s="90">
        <f>ROUND(D30/16,2)</f>
        <v>4.46</v>
      </c>
      <c r="E31" s="89" t="s">
        <v>138</v>
      </c>
      <c r="F31" s="109"/>
      <c r="G31" s="112"/>
      <c r="H31" s="78"/>
      <c r="I31" s="78"/>
    </row>
    <row r="32" spans="1:10" s="2" customFormat="1" x14ac:dyDescent="0.3">
      <c r="A32" s="99" t="s">
        <v>33</v>
      </c>
      <c r="B32" s="102">
        <v>0.5</v>
      </c>
      <c r="C32" s="105">
        <f>D39</f>
        <v>4.3099999999999996</v>
      </c>
      <c r="D32" s="90">
        <v>1999</v>
      </c>
      <c r="E32" s="88" t="s">
        <v>18</v>
      </c>
      <c r="F32" s="108" t="s">
        <v>146</v>
      </c>
      <c r="G32" s="111" t="s">
        <v>34</v>
      </c>
      <c r="H32" s="78"/>
    </row>
    <row r="33" spans="1:10" s="2" customFormat="1" x14ac:dyDescent="0.3">
      <c r="A33" s="100"/>
      <c r="B33" s="103"/>
      <c r="C33" s="106"/>
      <c r="D33" s="90">
        <f>ROUND(D32*23.59%,2)</f>
        <v>471.56</v>
      </c>
      <c r="E33" s="88" t="s">
        <v>22</v>
      </c>
      <c r="F33" s="109"/>
      <c r="G33" s="112"/>
      <c r="H33" s="78"/>
    </row>
    <row r="34" spans="1:10" s="2" customFormat="1" x14ac:dyDescent="0.3">
      <c r="A34" s="100"/>
      <c r="B34" s="103"/>
      <c r="C34" s="106"/>
      <c r="D34" s="90">
        <f>SUM(D32:D33)</f>
        <v>2470.56</v>
      </c>
      <c r="E34" s="88" t="s">
        <v>23</v>
      </c>
      <c r="F34" s="109"/>
      <c r="G34" s="112"/>
      <c r="H34" s="78"/>
    </row>
    <row r="35" spans="1:10" s="2" customFormat="1" x14ac:dyDescent="0.3">
      <c r="A35" s="100"/>
      <c r="B35" s="103"/>
      <c r="C35" s="106"/>
      <c r="D35" s="90">
        <f>ROUND(D34*B32,2)</f>
        <v>1235.28</v>
      </c>
      <c r="E35" s="88" t="s">
        <v>35</v>
      </c>
      <c r="F35" s="109"/>
      <c r="G35" s="112"/>
      <c r="H35" s="78"/>
    </row>
    <row r="36" spans="1:10" s="2" customFormat="1" x14ac:dyDescent="0.3">
      <c r="A36" s="100"/>
      <c r="B36" s="103"/>
      <c r="C36" s="106"/>
      <c r="D36" s="90">
        <f>D35*12</f>
        <v>14823.36</v>
      </c>
      <c r="E36" s="89" t="s">
        <v>24</v>
      </c>
      <c r="F36" s="109"/>
      <c r="G36" s="112"/>
      <c r="H36" s="78"/>
    </row>
    <row r="37" spans="1:10" s="2" customFormat="1" x14ac:dyDescent="0.3">
      <c r="A37" s="100"/>
      <c r="B37" s="103"/>
      <c r="C37" s="106"/>
      <c r="D37" s="90">
        <f>ROUND(D36/1720,2)</f>
        <v>8.6199999999999992</v>
      </c>
      <c r="E37" s="89" t="s">
        <v>36</v>
      </c>
      <c r="F37" s="109"/>
      <c r="G37" s="112"/>
      <c r="H37" s="78"/>
    </row>
    <row r="38" spans="1:10" s="2" customFormat="1" x14ac:dyDescent="0.3">
      <c r="A38" s="100"/>
      <c r="B38" s="103"/>
      <c r="C38" s="106"/>
      <c r="D38" s="90">
        <f>D37*8</f>
        <v>68.959999999999994</v>
      </c>
      <c r="E38" s="89" t="s">
        <v>29</v>
      </c>
      <c r="F38" s="109"/>
      <c r="G38" s="112"/>
      <c r="H38" s="78"/>
    </row>
    <row r="39" spans="1:10" s="2" customFormat="1" x14ac:dyDescent="0.3">
      <c r="A39" s="101"/>
      <c r="B39" s="104"/>
      <c r="C39" s="107"/>
      <c r="D39" s="90">
        <f>ROUND(D38/16,2)</f>
        <v>4.3099999999999996</v>
      </c>
      <c r="E39" s="89" t="s">
        <v>30</v>
      </c>
      <c r="F39" s="110"/>
      <c r="G39" s="113"/>
      <c r="H39" s="78"/>
    </row>
    <row r="40" spans="1:10" s="2" customFormat="1" ht="17.5" customHeight="1" x14ac:dyDescent="0.3">
      <c r="A40" s="99" t="s">
        <v>37</v>
      </c>
      <c r="B40" s="102">
        <v>0.2</v>
      </c>
      <c r="C40" s="105">
        <f>D47</f>
        <v>1.2</v>
      </c>
      <c r="D40" s="90">
        <v>1388</v>
      </c>
      <c r="E40" s="88" t="s">
        <v>18</v>
      </c>
      <c r="F40" s="108" t="s">
        <v>147</v>
      </c>
      <c r="G40" s="111" t="s">
        <v>38</v>
      </c>
      <c r="H40" s="78"/>
    </row>
    <row r="41" spans="1:10" s="2" customFormat="1" ht="17.5" customHeight="1" x14ac:dyDescent="0.3">
      <c r="A41" s="100"/>
      <c r="B41" s="103"/>
      <c r="C41" s="106"/>
      <c r="D41" s="90">
        <f>ROUND(D40*23.59%,2)</f>
        <v>327.43</v>
      </c>
      <c r="E41" s="88" t="s">
        <v>22</v>
      </c>
      <c r="F41" s="109"/>
      <c r="G41" s="112"/>
      <c r="H41" s="78"/>
    </row>
    <row r="42" spans="1:10" s="2" customFormat="1" ht="17.5" customHeight="1" x14ac:dyDescent="0.3">
      <c r="A42" s="100"/>
      <c r="B42" s="103"/>
      <c r="C42" s="106"/>
      <c r="D42" s="90">
        <f>SUM(D40:D41)</f>
        <v>1715.43</v>
      </c>
      <c r="E42" s="88" t="s">
        <v>23</v>
      </c>
      <c r="F42" s="109"/>
      <c r="G42" s="112"/>
      <c r="H42" s="78"/>
    </row>
    <row r="43" spans="1:10" s="2" customFormat="1" ht="17.5" customHeight="1" x14ac:dyDescent="0.3">
      <c r="A43" s="100"/>
      <c r="B43" s="103"/>
      <c r="C43" s="106"/>
      <c r="D43" s="90">
        <f>ROUND(D42*B40,2)</f>
        <v>343.09</v>
      </c>
      <c r="E43" s="88" t="s">
        <v>39</v>
      </c>
      <c r="F43" s="109"/>
      <c r="G43" s="112"/>
      <c r="H43" s="78"/>
    </row>
    <row r="44" spans="1:10" s="2" customFormat="1" ht="17.5" customHeight="1" x14ac:dyDescent="0.3">
      <c r="A44" s="100"/>
      <c r="B44" s="103"/>
      <c r="C44" s="106"/>
      <c r="D44" s="90">
        <f>D43*12</f>
        <v>4117.08</v>
      </c>
      <c r="E44" s="89" t="s">
        <v>24</v>
      </c>
      <c r="F44" s="109"/>
      <c r="G44" s="112"/>
      <c r="H44" s="78"/>
    </row>
    <row r="45" spans="1:10" s="2" customFormat="1" ht="17.5" customHeight="1" x14ac:dyDescent="0.3">
      <c r="A45" s="100"/>
      <c r="B45" s="103"/>
      <c r="C45" s="106"/>
      <c r="D45" s="90">
        <f>ROUND(D44/1720,2)</f>
        <v>2.39</v>
      </c>
      <c r="E45" s="89" t="s">
        <v>25</v>
      </c>
      <c r="F45" s="109"/>
      <c r="G45" s="112"/>
      <c r="H45" s="78"/>
    </row>
    <row r="46" spans="1:10" s="2" customFormat="1" ht="17.5" customHeight="1" x14ac:dyDescent="0.3">
      <c r="A46" s="100"/>
      <c r="B46" s="103"/>
      <c r="C46" s="106"/>
      <c r="D46" s="90">
        <f>D45*8</f>
        <v>19.12</v>
      </c>
      <c r="E46" s="89" t="s">
        <v>29</v>
      </c>
      <c r="F46" s="109"/>
      <c r="G46" s="112"/>
      <c r="H46" s="78"/>
    </row>
    <row r="47" spans="1:10" s="2" customFormat="1" ht="17.5" customHeight="1" x14ac:dyDescent="0.3">
      <c r="A47" s="101"/>
      <c r="B47" s="104"/>
      <c r="C47" s="107"/>
      <c r="D47" s="90">
        <f>ROUND(D46/16,2)</f>
        <v>1.2</v>
      </c>
      <c r="E47" s="89" t="s">
        <v>30</v>
      </c>
      <c r="F47" s="110"/>
      <c r="G47" s="113"/>
      <c r="H47" s="78"/>
    </row>
    <row r="48" spans="1:10" ht="56" x14ac:dyDescent="0.3">
      <c r="A48" s="39" t="s">
        <v>40</v>
      </c>
      <c r="B48" s="39" t="s">
        <v>41</v>
      </c>
      <c r="C48" s="40">
        <f>SUM(C49:C61)</f>
        <v>9.74</v>
      </c>
      <c r="D48" s="129"/>
      <c r="E48" s="130"/>
      <c r="F48" s="130"/>
      <c r="G48" s="131"/>
      <c r="H48" s="2"/>
      <c r="I48" s="2"/>
      <c r="J48" s="2"/>
    </row>
    <row r="49" spans="1:10" ht="56" x14ac:dyDescent="0.3">
      <c r="A49" s="43" t="str">
        <f>'4.4. pielikums'!B7</f>
        <v>Ēdināšanas izdevumi</v>
      </c>
      <c r="B49" s="116">
        <v>0.34699999999999998</v>
      </c>
      <c r="C49" s="30">
        <f>ROUND('4.4. pielikums'!W7*(1+B49),2)</f>
        <v>2.2799999999999998</v>
      </c>
      <c r="D49" s="132" t="s">
        <v>42</v>
      </c>
      <c r="E49" s="133"/>
      <c r="F49" s="134"/>
      <c r="G49" s="82" t="s">
        <v>43</v>
      </c>
      <c r="H49" s="2"/>
      <c r="I49" s="2"/>
      <c r="J49" s="2"/>
    </row>
    <row r="50" spans="1:10" ht="30" customHeight="1" x14ac:dyDescent="0.3">
      <c r="A50" s="43" t="str">
        <f>'4.4. pielikums'!B9</f>
        <v>Mācību materiāli un līdzekļi</v>
      </c>
      <c r="B50" s="117"/>
      <c r="C50" s="30">
        <f>ROUND('4.4. pielikums'!W9*(1+B49),2)</f>
        <v>0.34</v>
      </c>
      <c r="D50" s="135"/>
      <c r="E50" s="136"/>
      <c r="F50" s="137"/>
      <c r="G50" s="83" t="s">
        <v>44</v>
      </c>
      <c r="H50" s="2"/>
      <c r="I50" s="2"/>
      <c r="J50" s="2"/>
    </row>
    <row r="51" spans="1:10" x14ac:dyDescent="0.3">
      <c r="A51" s="43" t="str">
        <f>'4.4. pielikums'!B10</f>
        <v>Kancelejas un biroja preces</v>
      </c>
      <c r="B51" s="117"/>
      <c r="C51" s="30">
        <f>ROUND('4.4. pielikums'!W10*(1+B49),2)</f>
        <v>0.09</v>
      </c>
      <c r="D51" s="135"/>
      <c r="E51" s="136"/>
      <c r="F51" s="137"/>
      <c r="G51" s="83"/>
      <c r="H51" s="2"/>
      <c r="I51" s="2"/>
      <c r="J51" s="2"/>
    </row>
    <row r="52" spans="1:10" x14ac:dyDescent="0.3">
      <c r="A52" s="43" t="str">
        <f>'4.4. pielikums'!B8</f>
        <v>Saimniecības un higiēnas preces</v>
      </c>
      <c r="B52" s="117"/>
      <c r="C52" s="30">
        <f>ROUND('4.4. pielikums'!W8*(1+B49),2)</f>
        <v>0.12</v>
      </c>
      <c r="D52" s="135"/>
      <c r="E52" s="136"/>
      <c r="F52" s="137"/>
      <c r="G52" s="83"/>
      <c r="H52" s="2"/>
      <c r="I52" s="2"/>
      <c r="J52" s="2"/>
    </row>
    <row r="53" spans="1:10" ht="28" x14ac:dyDescent="0.3">
      <c r="A53" s="43" t="s">
        <v>45</v>
      </c>
      <c r="B53" s="117"/>
      <c r="C53" s="30">
        <f>ROUND('4.4. pielikums'!W11*(1+B49),2)</f>
        <v>0.34</v>
      </c>
      <c r="D53" s="135"/>
      <c r="E53" s="136"/>
      <c r="F53" s="137"/>
      <c r="G53" s="83"/>
      <c r="H53" s="2"/>
      <c r="I53" s="2"/>
      <c r="J53" s="2"/>
    </row>
    <row r="54" spans="1:10" ht="56" x14ac:dyDescent="0.3">
      <c r="A54" s="43" t="str">
        <f>'4.4. pielikums'!B12</f>
        <v>Telpas (īre, komunālie maksājumi, uzturēšanas pasākumi)</v>
      </c>
      <c r="B54" s="117"/>
      <c r="C54" s="30">
        <f>ROUND('4.4. pielikums'!W12*(1+B49),2)</f>
        <v>3.14</v>
      </c>
      <c r="D54" s="135"/>
      <c r="E54" s="136"/>
      <c r="F54" s="137"/>
      <c r="G54" s="45" t="s">
        <v>46</v>
      </c>
      <c r="H54" s="2"/>
      <c r="I54" s="2"/>
      <c r="J54" s="2"/>
    </row>
    <row r="55" spans="1:10" ht="28" x14ac:dyDescent="0.3">
      <c r="A55" s="43" t="str">
        <f>'4.4. pielikums'!B6</f>
        <v>Sakaru pakalpojumi (telefons, internets, pasts)</v>
      </c>
      <c r="B55" s="117"/>
      <c r="C55" s="30">
        <f>ROUND('4.4. pielikums'!W6*(1+B49),2)</f>
        <v>0.24</v>
      </c>
      <c r="D55" s="135"/>
      <c r="E55" s="136"/>
      <c r="F55" s="137"/>
      <c r="G55" s="83"/>
      <c r="H55" s="2"/>
      <c r="I55" s="2"/>
      <c r="J55" s="2"/>
    </row>
    <row r="56" spans="1:10" ht="42" x14ac:dyDescent="0.3">
      <c r="A56" s="43" t="str">
        <f>'4.4. pielikums'!B15</f>
        <v>Ar admin.darbību saistītie izdevumi (darba aizsardz.sist.uzturēš.pak., bankas konta apkalp. u.c.)</v>
      </c>
      <c r="B56" s="117"/>
      <c r="C56" s="30">
        <f>ROUND('4.4. pielikums'!W15*(1+B49),2)</f>
        <v>0.15</v>
      </c>
      <c r="D56" s="135"/>
      <c r="E56" s="136"/>
      <c r="F56" s="137"/>
      <c r="G56" s="83"/>
      <c r="H56" s="2"/>
      <c r="I56" s="2"/>
      <c r="J56" s="2"/>
    </row>
    <row r="57" spans="1:10" x14ac:dyDescent="0.3">
      <c r="A57" s="43" t="str">
        <f>'4.4. pielikums'!B14</f>
        <v>Darbinieku izglītības izdevumi</v>
      </c>
      <c r="B57" s="117"/>
      <c r="C57" s="30">
        <f>ROUND('4.4. pielikums'!W14*(1+B49),2)</f>
        <v>0.27</v>
      </c>
      <c r="D57" s="135"/>
      <c r="E57" s="136"/>
      <c r="F57" s="137"/>
      <c r="G57" s="83"/>
      <c r="H57" s="2"/>
      <c r="I57" s="2"/>
      <c r="J57" s="2"/>
    </row>
    <row r="58" spans="1:10" ht="28" x14ac:dyDescent="0.3">
      <c r="A58" s="43" t="str">
        <f>'4.4. pielikums'!B17</f>
        <v>Inventārs, iekārtu remonts (materiāli un pakalpojums)</v>
      </c>
      <c r="B58" s="117"/>
      <c r="C58" s="30">
        <f>ROUND('4.4. pielikums'!W17*(1+B49),2)</f>
        <v>0.22</v>
      </c>
      <c r="D58" s="138"/>
      <c r="E58" s="139"/>
      <c r="F58" s="140"/>
      <c r="G58" s="83"/>
      <c r="H58" s="2"/>
      <c r="I58" s="2"/>
      <c r="J58" s="2"/>
    </row>
    <row r="59" spans="1:10" x14ac:dyDescent="0.3">
      <c r="A59" s="43" t="s">
        <v>47</v>
      </c>
      <c r="B59" s="117"/>
      <c r="C59" s="30">
        <f>ROUND('4.5. pielikums'!C12*(1+B49),2)</f>
        <v>1.83</v>
      </c>
      <c r="D59" s="141" t="s">
        <v>48</v>
      </c>
      <c r="E59" s="142"/>
      <c r="F59" s="143"/>
      <c r="G59" s="83"/>
    </row>
    <row r="60" spans="1:10" ht="28" x14ac:dyDescent="0.3">
      <c r="A60" s="44" t="s">
        <v>49</v>
      </c>
      <c r="B60" s="117"/>
      <c r="C60" s="91">
        <f>ROUND('4.3. pielikums'!F10*(1+B49),2)</f>
        <v>0.26</v>
      </c>
      <c r="D60" s="141" t="s">
        <v>50</v>
      </c>
      <c r="E60" s="142"/>
      <c r="F60" s="143"/>
      <c r="G60" s="83"/>
    </row>
    <row r="61" spans="1:10" ht="42.5" customHeight="1" x14ac:dyDescent="0.3">
      <c r="A61" s="44" t="s">
        <v>51</v>
      </c>
      <c r="B61" s="118"/>
      <c r="C61" s="30">
        <f>ROUND('4.6. pielikums'!G6*(1+B49),2)</f>
        <v>0.46</v>
      </c>
      <c r="D61" s="141" t="s">
        <v>52</v>
      </c>
      <c r="E61" s="142"/>
      <c r="F61" s="143"/>
      <c r="G61" s="83"/>
    </row>
    <row r="62" spans="1:10" x14ac:dyDescent="0.3">
      <c r="A62" s="46" t="s">
        <v>53</v>
      </c>
      <c r="B62" s="127">
        <f>C48+C4</f>
        <v>28.449999999999996</v>
      </c>
      <c r="C62" s="128"/>
      <c r="D62"/>
      <c r="E62"/>
      <c r="F62" s="47"/>
      <c r="G62" s="47"/>
    </row>
    <row r="63" spans="1:10" x14ac:dyDescent="0.3">
      <c r="A63" s="2"/>
      <c r="B63" s="2"/>
      <c r="C63" s="78"/>
      <c r="D63" s="2"/>
      <c r="E63" s="2"/>
      <c r="F63" s="2"/>
      <c r="G63" s="2"/>
    </row>
    <row r="64" spans="1:10" x14ac:dyDescent="0.3">
      <c r="A64" s="114" t="s">
        <v>134</v>
      </c>
      <c r="B64" s="114"/>
      <c r="C64" s="114"/>
      <c r="D64" s="114"/>
      <c r="E64" s="114"/>
      <c r="F64" s="114"/>
      <c r="G64" s="114"/>
    </row>
  </sheetData>
  <mergeCells count="35">
    <mergeCell ref="B62:C62"/>
    <mergeCell ref="D48:G48"/>
    <mergeCell ref="D49:F58"/>
    <mergeCell ref="D59:F59"/>
    <mergeCell ref="D60:F60"/>
    <mergeCell ref="D61:F61"/>
    <mergeCell ref="A64:G64"/>
    <mergeCell ref="A1:G1"/>
    <mergeCell ref="A2:G2"/>
    <mergeCell ref="B49:B61"/>
    <mergeCell ref="A5:A13"/>
    <mergeCell ref="B5:B13"/>
    <mergeCell ref="C5:C13"/>
    <mergeCell ref="F5:F13"/>
    <mergeCell ref="A23:A31"/>
    <mergeCell ref="G5:G13"/>
    <mergeCell ref="A14:A22"/>
    <mergeCell ref="B14:B22"/>
    <mergeCell ref="C14:C22"/>
    <mergeCell ref="F14:F22"/>
    <mergeCell ref="G14:G22"/>
    <mergeCell ref="B23:B31"/>
    <mergeCell ref="C23:C31"/>
    <mergeCell ref="F23:F31"/>
    <mergeCell ref="G23:G31"/>
    <mergeCell ref="A32:A39"/>
    <mergeCell ref="B32:B39"/>
    <mergeCell ref="C32:C39"/>
    <mergeCell ref="F32:F39"/>
    <mergeCell ref="G32:G39"/>
    <mergeCell ref="A40:A47"/>
    <mergeCell ref="B40:B47"/>
    <mergeCell ref="C40:C47"/>
    <mergeCell ref="F40:F47"/>
    <mergeCell ref="G40:G47"/>
  </mergeCells>
  <pageMargins left="0.70866141732283472" right="0.70866141732283472" top="0.74803149606299213" bottom="0.74803149606299213"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
  <sheetViews>
    <sheetView zoomScale="90" zoomScaleNormal="90" workbookViewId="0">
      <selection sqref="A1:F1"/>
    </sheetView>
  </sheetViews>
  <sheetFormatPr defaultColWidth="9.1796875" defaultRowHeight="14" x14ac:dyDescent="0.3"/>
  <cols>
    <col min="1" max="1" width="33.81640625" style="4" customWidth="1"/>
    <col min="2" max="2" width="14.453125" style="4" customWidth="1"/>
    <col min="3" max="3" width="12.26953125" style="4" customWidth="1"/>
    <col min="4" max="4" width="14.7265625" style="4" customWidth="1"/>
    <col min="5" max="5" width="14.453125" style="4" customWidth="1"/>
    <col min="6" max="6" width="23.1796875" style="4" customWidth="1"/>
    <col min="7" max="16384" width="9.1796875" style="4"/>
  </cols>
  <sheetData>
    <row r="1" spans="1:6" x14ac:dyDescent="0.3">
      <c r="A1" s="146" t="s">
        <v>54</v>
      </c>
      <c r="B1" s="146"/>
      <c r="C1" s="146"/>
      <c r="D1" s="146"/>
      <c r="E1" s="146"/>
      <c r="F1" s="146"/>
    </row>
    <row r="2" spans="1:6" x14ac:dyDescent="0.3">
      <c r="A2" s="145" t="s">
        <v>55</v>
      </c>
      <c r="B2" s="145"/>
      <c r="C2" s="145"/>
      <c r="D2" s="145"/>
      <c r="E2" s="145"/>
      <c r="F2" s="145"/>
    </row>
    <row r="3" spans="1:6" ht="70" x14ac:dyDescent="0.3">
      <c r="A3" s="53" t="s">
        <v>56</v>
      </c>
      <c r="B3" s="51" t="s">
        <v>57</v>
      </c>
      <c r="C3" s="51" t="s">
        <v>58</v>
      </c>
      <c r="D3" s="51" t="s">
        <v>59</v>
      </c>
      <c r="E3" s="51" t="s">
        <v>60</v>
      </c>
      <c r="F3" s="51" t="s">
        <v>61</v>
      </c>
    </row>
    <row r="4" spans="1:6" x14ac:dyDescent="0.3">
      <c r="A4" s="5">
        <v>1</v>
      </c>
      <c r="B4" s="5">
        <v>2</v>
      </c>
      <c r="C4" s="5">
        <v>3</v>
      </c>
      <c r="D4" s="6" t="s">
        <v>62</v>
      </c>
      <c r="E4" s="5" t="s">
        <v>63</v>
      </c>
      <c r="F4" s="92" t="s">
        <v>140</v>
      </c>
    </row>
    <row r="5" spans="1:6" x14ac:dyDescent="0.3">
      <c r="A5" s="147" t="s">
        <v>64</v>
      </c>
      <c r="B5" s="148"/>
      <c r="C5" s="148"/>
      <c r="D5" s="148"/>
      <c r="E5" s="148"/>
      <c r="F5" s="149"/>
    </row>
    <row r="6" spans="1:6" ht="14.25" customHeight="1" x14ac:dyDescent="0.3">
      <c r="A6" s="31" t="s">
        <v>65</v>
      </c>
      <c r="B6" s="35">
        <v>16</v>
      </c>
      <c r="C6" s="9">
        <f>'4.2. pielikums'!B5+'4.2. pielikums'!B14</f>
        <v>2</v>
      </c>
      <c r="D6" s="16">
        <f>ROUND(C6*213.43,2)</f>
        <v>426.86</v>
      </c>
      <c r="E6" s="30">
        <f>ROUND(D6/B6,2)</f>
        <v>26.68</v>
      </c>
      <c r="F6" s="93">
        <f>ROUND(E6/215,2)</f>
        <v>0.12</v>
      </c>
    </row>
    <row r="7" spans="1:6" x14ac:dyDescent="0.3">
      <c r="A7" s="31" t="s">
        <v>66</v>
      </c>
      <c r="B7" s="35">
        <v>16</v>
      </c>
      <c r="C7" s="9">
        <f>'4.2. pielikums'!B23</f>
        <v>0.5</v>
      </c>
      <c r="D7" s="16">
        <f>ROUND(C7*213.43,2)</f>
        <v>106.72</v>
      </c>
      <c r="E7" s="30">
        <f>ROUND(D7/B7,2)</f>
        <v>6.67</v>
      </c>
      <c r="F7" s="93">
        <f>ROUND(E7/215,2)</f>
        <v>0.03</v>
      </c>
    </row>
    <row r="8" spans="1:6" x14ac:dyDescent="0.3">
      <c r="A8" s="32" t="s">
        <v>67</v>
      </c>
      <c r="B8" s="35">
        <v>16</v>
      </c>
      <c r="C8" s="9">
        <f>'4.2. pielikums'!B32</f>
        <v>0.5</v>
      </c>
      <c r="D8" s="16">
        <f>ROUND(C8*213.43,2)</f>
        <v>106.72</v>
      </c>
      <c r="E8" s="30">
        <f>ROUND(D8/B8,2)</f>
        <v>6.67</v>
      </c>
      <c r="F8" s="93">
        <f>ROUND(E8/215,2)</f>
        <v>0.03</v>
      </c>
    </row>
    <row r="9" spans="1:6" x14ac:dyDescent="0.3">
      <c r="A9" s="32" t="s">
        <v>68</v>
      </c>
      <c r="B9" s="35">
        <v>16</v>
      </c>
      <c r="C9" s="9">
        <f>'4.2. pielikums'!B40</f>
        <v>0.2</v>
      </c>
      <c r="D9" s="16">
        <f>ROUND(C9*213.43,2)</f>
        <v>42.69</v>
      </c>
      <c r="E9" s="30">
        <f>ROUND(D9/B9,2)</f>
        <v>2.67</v>
      </c>
      <c r="F9" s="93">
        <f>ROUND(E9/215,2)</f>
        <v>0.01</v>
      </c>
    </row>
    <row r="10" spans="1:6" x14ac:dyDescent="0.3">
      <c r="A10" s="34" t="s">
        <v>53</v>
      </c>
      <c r="B10" s="36">
        <f>AVERAGE(B6:B9)</f>
        <v>16</v>
      </c>
      <c r="C10" s="54">
        <f>SUM(C6:C9)</f>
        <v>3.2</v>
      </c>
      <c r="D10" s="37">
        <f>ROUND(SUM(D6:D9),2)</f>
        <v>682.99</v>
      </c>
      <c r="E10" s="37">
        <f>ROUND(SUM(E6:E9),2)</f>
        <v>42.69</v>
      </c>
      <c r="F10" s="94">
        <f>ROUND(SUM(F6:F9),2)</f>
        <v>0.19</v>
      </c>
    </row>
    <row r="11" spans="1:6" x14ac:dyDescent="0.3">
      <c r="A11" s="48"/>
      <c r="B11" s="48"/>
      <c r="C11" s="48"/>
      <c r="D11" s="48"/>
      <c r="E11" s="48"/>
      <c r="F11" s="48"/>
    </row>
    <row r="12" spans="1:6" ht="138.5" customHeight="1" x14ac:dyDescent="0.3">
      <c r="A12" s="144" t="s">
        <v>141</v>
      </c>
      <c r="B12" s="144"/>
      <c r="C12" s="144"/>
      <c r="D12" s="144"/>
      <c r="E12" s="144"/>
      <c r="F12" s="144"/>
    </row>
  </sheetData>
  <mergeCells count="4">
    <mergeCell ref="A12:F12"/>
    <mergeCell ref="A2:F2"/>
    <mergeCell ref="A1:F1"/>
    <mergeCell ref="A5:F5"/>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0"/>
  <sheetViews>
    <sheetView zoomScale="80" zoomScaleNormal="80" workbookViewId="0">
      <selection sqref="A1:W1"/>
    </sheetView>
  </sheetViews>
  <sheetFormatPr defaultColWidth="9.1796875" defaultRowHeight="14" x14ac:dyDescent="0.3"/>
  <cols>
    <col min="1" max="1" width="4.1796875" style="2" customWidth="1"/>
    <col min="2" max="2" width="30.1796875" style="2" customWidth="1"/>
    <col min="3" max="3" width="7.1796875" style="2" customWidth="1"/>
    <col min="4" max="4" width="7.26953125" style="2" customWidth="1"/>
    <col min="5" max="5" width="6.54296875" style="2" customWidth="1"/>
    <col min="6" max="6" width="6.453125" style="2" customWidth="1"/>
    <col min="7" max="7" width="7.1796875" style="2" customWidth="1"/>
    <col min="8" max="8" width="8.7265625" style="2" customWidth="1"/>
    <col min="9" max="9" width="6.453125" style="2" customWidth="1"/>
    <col min="10" max="11" width="6.54296875" style="2" customWidth="1"/>
    <col min="12" max="13" width="6" style="2" customWidth="1"/>
    <col min="14" max="14" width="6.1796875" style="2" customWidth="1"/>
    <col min="15" max="15" width="8.7265625" style="2" customWidth="1"/>
    <col min="16" max="21" width="6.1796875" style="2" customWidth="1"/>
    <col min="22" max="22" width="8.7265625" style="2" customWidth="1"/>
    <col min="23" max="23" width="9.81640625" style="2" customWidth="1"/>
    <col min="24" max="16384" width="9.1796875" style="2"/>
  </cols>
  <sheetData>
    <row r="1" spans="1:23" x14ac:dyDescent="0.3">
      <c r="A1" s="98" t="s">
        <v>69</v>
      </c>
      <c r="B1" s="98"/>
      <c r="C1" s="98"/>
      <c r="D1" s="98"/>
      <c r="E1" s="98"/>
      <c r="F1" s="98"/>
      <c r="G1" s="98"/>
      <c r="H1" s="98"/>
      <c r="I1" s="98"/>
      <c r="J1" s="98"/>
      <c r="K1" s="98"/>
      <c r="L1" s="98"/>
      <c r="M1" s="98"/>
      <c r="N1" s="98"/>
      <c r="O1" s="98"/>
      <c r="P1" s="98"/>
      <c r="Q1" s="98"/>
      <c r="R1" s="98"/>
      <c r="S1" s="98"/>
      <c r="T1" s="98"/>
      <c r="U1" s="98"/>
      <c r="V1" s="98"/>
      <c r="W1" s="98"/>
    </row>
    <row r="2" spans="1:23" ht="14.5" thickBot="1" x14ac:dyDescent="0.35">
      <c r="A2" s="150" t="s">
        <v>70</v>
      </c>
      <c r="B2" s="150"/>
      <c r="C2" s="150"/>
      <c r="D2" s="150"/>
      <c r="E2" s="150"/>
      <c r="F2" s="150"/>
      <c r="G2" s="150"/>
      <c r="H2" s="150"/>
      <c r="I2" s="150"/>
      <c r="J2" s="150"/>
      <c r="K2" s="150"/>
      <c r="L2" s="150"/>
      <c r="M2" s="150"/>
      <c r="N2" s="150"/>
      <c r="O2" s="150"/>
      <c r="P2" s="150"/>
      <c r="Q2" s="150"/>
      <c r="R2" s="150"/>
      <c r="S2" s="150"/>
      <c r="T2" s="150"/>
      <c r="U2" s="150"/>
      <c r="V2" s="150"/>
      <c r="W2" s="150"/>
    </row>
    <row r="3" spans="1:23" ht="14.5" thickBot="1" x14ac:dyDescent="0.35">
      <c r="A3" s="152" t="s">
        <v>71</v>
      </c>
      <c r="B3" s="153" t="s">
        <v>72</v>
      </c>
      <c r="C3" s="154" t="s">
        <v>73</v>
      </c>
      <c r="D3" s="155"/>
      <c r="E3" s="155"/>
      <c r="F3" s="155"/>
      <c r="G3" s="155"/>
      <c r="H3" s="156"/>
      <c r="I3" s="154" t="s">
        <v>74</v>
      </c>
      <c r="J3" s="155"/>
      <c r="K3" s="155"/>
      <c r="L3" s="155"/>
      <c r="M3" s="155"/>
      <c r="N3" s="155"/>
      <c r="O3" s="156"/>
      <c r="P3" s="159" t="s">
        <v>75</v>
      </c>
      <c r="Q3" s="160"/>
      <c r="R3" s="160"/>
      <c r="S3" s="160"/>
      <c r="T3" s="160"/>
      <c r="U3" s="160"/>
      <c r="V3" s="161"/>
      <c r="W3" s="157" t="s">
        <v>76</v>
      </c>
    </row>
    <row r="4" spans="1:23" x14ac:dyDescent="0.3">
      <c r="A4" s="152"/>
      <c r="B4" s="153"/>
      <c r="C4" s="11" t="s">
        <v>77</v>
      </c>
      <c r="D4" s="11" t="s">
        <v>78</v>
      </c>
      <c r="E4" s="11" t="s">
        <v>79</v>
      </c>
      <c r="F4" s="11" t="s">
        <v>80</v>
      </c>
      <c r="G4" s="12" t="s">
        <v>81</v>
      </c>
      <c r="H4" s="49" t="s">
        <v>82</v>
      </c>
      <c r="I4" s="13" t="s">
        <v>77</v>
      </c>
      <c r="J4" s="11" t="s">
        <v>78</v>
      </c>
      <c r="K4" s="11" t="s">
        <v>79</v>
      </c>
      <c r="L4" s="11" t="s">
        <v>80</v>
      </c>
      <c r="M4" s="11" t="s">
        <v>81</v>
      </c>
      <c r="N4" s="11" t="s">
        <v>83</v>
      </c>
      <c r="O4" s="49" t="s">
        <v>82</v>
      </c>
      <c r="P4" s="14" t="s">
        <v>77</v>
      </c>
      <c r="Q4" s="10" t="s">
        <v>78</v>
      </c>
      <c r="R4" s="10" t="s">
        <v>79</v>
      </c>
      <c r="S4" s="10" t="s">
        <v>80</v>
      </c>
      <c r="T4" s="10" t="s">
        <v>81</v>
      </c>
      <c r="U4" s="15" t="s">
        <v>83</v>
      </c>
      <c r="V4" s="49" t="s">
        <v>82</v>
      </c>
      <c r="W4" s="158"/>
    </row>
    <row r="5" spans="1:23" ht="14.15" customHeight="1" x14ac:dyDescent="0.3">
      <c r="A5" s="9">
        <v>1</v>
      </c>
      <c r="B5" s="31" t="s">
        <v>84</v>
      </c>
      <c r="C5" s="56">
        <v>9.56</v>
      </c>
      <c r="D5" s="56">
        <v>6.12</v>
      </c>
      <c r="E5" s="56">
        <v>8.7899999999999991</v>
      </c>
      <c r="F5" s="56">
        <v>7.806</v>
      </c>
      <c r="G5" s="57">
        <v>5.67</v>
      </c>
      <c r="H5" s="58">
        <f>ROUND(AVERAGE(C5:G5),2)</f>
        <v>7.59</v>
      </c>
      <c r="I5" s="59">
        <v>9.56</v>
      </c>
      <c r="J5" s="56">
        <v>6.12</v>
      </c>
      <c r="K5" s="56">
        <v>8.7899999999999991</v>
      </c>
      <c r="L5" s="56">
        <v>8.3800000000000008</v>
      </c>
      <c r="M5" s="56">
        <v>5.59</v>
      </c>
      <c r="N5" s="56">
        <v>9</v>
      </c>
      <c r="O5" s="58">
        <f t="shared" ref="O5:O17" si="0">ROUND(AVERAGE(I5:N5),2)</f>
        <v>7.91</v>
      </c>
      <c r="P5" s="60">
        <v>9.56</v>
      </c>
      <c r="Q5" s="56">
        <v>6.12</v>
      </c>
      <c r="R5" s="56">
        <v>8.7899999999999991</v>
      </c>
      <c r="S5" s="56">
        <v>16.25</v>
      </c>
      <c r="T5" s="56">
        <v>5.59</v>
      </c>
      <c r="U5" s="57">
        <v>9.86</v>
      </c>
      <c r="V5" s="58">
        <f>ROUND(AVERAGE(P5:U5),2)</f>
        <v>9.36</v>
      </c>
      <c r="W5" s="61">
        <f>ROUND((H5+O5+V5)/3,2)</f>
        <v>8.2899999999999991</v>
      </c>
    </row>
    <row r="6" spans="1:23" ht="28" customHeight="1" x14ac:dyDescent="0.3">
      <c r="A6" s="9">
        <v>2</v>
      </c>
      <c r="B6" s="31" t="s">
        <v>85</v>
      </c>
      <c r="C6" s="62">
        <v>7.0000000000000007E-2</v>
      </c>
      <c r="D6" s="62">
        <v>0.14000000000000001</v>
      </c>
      <c r="E6" s="62">
        <v>0.05</v>
      </c>
      <c r="F6" s="62">
        <v>6.3E-2</v>
      </c>
      <c r="G6" s="63">
        <v>0.52</v>
      </c>
      <c r="H6" s="64">
        <f t="shared" ref="H6:H17" si="1">ROUND(AVERAGE(C6:G6),2)</f>
        <v>0.17</v>
      </c>
      <c r="I6" s="65">
        <v>7.0000000000000007E-2</v>
      </c>
      <c r="J6" s="62">
        <v>0.14000000000000001</v>
      </c>
      <c r="K6" s="62">
        <v>0.05</v>
      </c>
      <c r="L6" s="62">
        <v>3.5000000000000003E-2</v>
      </c>
      <c r="M6" s="62">
        <v>0.52</v>
      </c>
      <c r="N6" s="62">
        <v>0.3</v>
      </c>
      <c r="O6" s="64">
        <f t="shared" si="0"/>
        <v>0.19</v>
      </c>
      <c r="P6" s="66">
        <v>7.0000000000000007E-2</v>
      </c>
      <c r="Q6" s="62">
        <v>0.14000000000000001</v>
      </c>
      <c r="R6" s="62">
        <v>0.05</v>
      </c>
      <c r="S6" s="62">
        <v>0.05</v>
      </c>
      <c r="T6" s="62">
        <v>0.52</v>
      </c>
      <c r="U6" s="67" t="s">
        <v>86</v>
      </c>
      <c r="V6" s="64">
        <f t="shared" ref="V6:V17" si="2">ROUND(AVERAGE(P6:U6),2)</f>
        <v>0.17</v>
      </c>
      <c r="W6" s="68">
        <f t="shared" ref="W6:W17" si="3">ROUND((H6+O6+V6)/3,2)</f>
        <v>0.18</v>
      </c>
    </row>
    <row r="7" spans="1:23" ht="14.15" customHeight="1" x14ac:dyDescent="0.3">
      <c r="A7" s="9">
        <v>3</v>
      </c>
      <c r="B7" s="77" t="s">
        <v>87</v>
      </c>
      <c r="C7" s="62">
        <v>2.13</v>
      </c>
      <c r="D7" s="62">
        <v>1.84</v>
      </c>
      <c r="E7" s="62">
        <v>1.88</v>
      </c>
      <c r="F7" s="62">
        <v>1.708</v>
      </c>
      <c r="G7" s="63">
        <v>1.3</v>
      </c>
      <c r="H7" s="64">
        <f t="shared" si="1"/>
        <v>1.77</v>
      </c>
      <c r="I7" s="65">
        <v>2.13</v>
      </c>
      <c r="J7" s="62">
        <v>1.84</v>
      </c>
      <c r="K7" s="62">
        <v>1.88</v>
      </c>
      <c r="L7" s="62">
        <v>1.7070000000000001</v>
      </c>
      <c r="M7" s="62">
        <v>1.2</v>
      </c>
      <c r="N7" s="62">
        <v>1.6</v>
      </c>
      <c r="O7" s="64">
        <f t="shared" si="0"/>
        <v>1.73</v>
      </c>
      <c r="P7" s="66">
        <v>2.13</v>
      </c>
      <c r="Q7" s="62">
        <v>1.84</v>
      </c>
      <c r="R7" s="62">
        <v>1.88</v>
      </c>
      <c r="S7" s="62">
        <v>1.48</v>
      </c>
      <c r="T7" s="62">
        <v>1.2</v>
      </c>
      <c r="U7" s="63">
        <v>0.94</v>
      </c>
      <c r="V7" s="64">
        <f t="shared" si="2"/>
        <v>1.58</v>
      </c>
      <c r="W7" s="68">
        <f t="shared" si="3"/>
        <v>1.69</v>
      </c>
    </row>
    <row r="8" spans="1:23" ht="14.15" customHeight="1" x14ac:dyDescent="0.3">
      <c r="A8" s="9">
        <v>4</v>
      </c>
      <c r="B8" s="31" t="s">
        <v>88</v>
      </c>
      <c r="C8" s="62">
        <v>0.04</v>
      </c>
      <c r="D8" s="62">
        <v>0.04</v>
      </c>
      <c r="E8" s="62">
        <v>7.0000000000000007E-2</v>
      </c>
      <c r="F8" s="62">
        <v>5.5E-2</v>
      </c>
      <c r="G8" s="63">
        <v>0.24</v>
      </c>
      <c r="H8" s="64">
        <f t="shared" si="1"/>
        <v>0.09</v>
      </c>
      <c r="I8" s="65">
        <v>0.04</v>
      </c>
      <c r="J8" s="62">
        <v>0.04</v>
      </c>
      <c r="K8" s="62">
        <v>7.0000000000000007E-2</v>
      </c>
      <c r="L8" s="62">
        <v>5.5E-2</v>
      </c>
      <c r="M8" s="62">
        <v>0.24</v>
      </c>
      <c r="N8" s="62">
        <v>0.18</v>
      </c>
      <c r="O8" s="64">
        <f t="shared" si="0"/>
        <v>0.1</v>
      </c>
      <c r="P8" s="66">
        <v>0.04</v>
      </c>
      <c r="Q8" s="62">
        <v>0.04</v>
      </c>
      <c r="R8" s="62">
        <v>7.0000000000000007E-2</v>
      </c>
      <c r="S8" s="62">
        <v>0.06</v>
      </c>
      <c r="T8" s="62">
        <v>0.24</v>
      </c>
      <c r="U8" s="67" t="s">
        <v>86</v>
      </c>
      <c r="V8" s="64">
        <f t="shared" si="2"/>
        <v>0.09</v>
      </c>
      <c r="W8" s="68">
        <f t="shared" si="3"/>
        <v>0.09</v>
      </c>
    </row>
    <row r="9" spans="1:23" ht="14.15" customHeight="1" x14ac:dyDescent="0.3">
      <c r="A9" s="9">
        <v>5</v>
      </c>
      <c r="B9" s="31" t="s">
        <v>89</v>
      </c>
      <c r="C9" s="62">
        <v>0.27</v>
      </c>
      <c r="D9" s="62">
        <v>0.43</v>
      </c>
      <c r="E9" s="62">
        <v>0.15</v>
      </c>
      <c r="F9" s="62">
        <v>0.159</v>
      </c>
      <c r="G9" s="63">
        <v>0.19</v>
      </c>
      <c r="H9" s="64">
        <f t="shared" si="1"/>
        <v>0.24</v>
      </c>
      <c r="I9" s="65">
        <v>0.27</v>
      </c>
      <c r="J9" s="62">
        <v>0.43</v>
      </c>
      <c r="K9" s="62">
        <v>0.15</v>
      </c>
      <c r="L9" s="62">
        <v>0.17699999999999999</v>
      </c>
      <c r="M9" s="62">
        <v>0.19</v>
      </c>
      <c r="N9" s="62">
        <v>0.3</v>
      </c>
      <c r="O9" s="64">
        <f t="shared" si="0"/>
        <v>0.25</v>
      </c>
      <c r="P9" s="66">
        <v>0.27</v>
      </c>
      <c r="Q9" s="62">
        <v>0.43</v>
      </c>
      <c r="R9" s="62">
        <v>0.15</v>
      </c>
      <c r="S9" s="62">
        <v>0.26</v>
      </c>
      <c r="T9" s="62">
        <v>0.19</v>
      </c>
      <c r="U9" s="67" t="s">
        <v>86</v>
      </c>
      <c r="V9" s="64">
        <f t="shared" si="2"/>
        <v>0.26</v>
      </c>
      <c r="W9" s="68">
        <f t="shared" si="3"/>
        <v>0.25</v>
      </c>
    </row>
    <row r="10" spans="1:23" ht="14.15" customHeight="1" x14ac:dyDescent="0.3">
      <c r="A10" s="9">
        <v>6</v>
      </c>
      <c r="B10" s="31" t="s">
        <v>90</v>
      </c>
      <c r="C10" s="62">
        <v>0.04</v>
      </c>
      <c r="D10" s="62">
        <v>0.02</v>
      </c>
      <c r="E10" s="62">
        <v>0.1</v>
      </c>
      <c r="F10" s="62">
        <v>2.5999999999999999E-2</v>
      </c>
      <c r="G10" s="63">
        <v>0.11</v>
      </c>
      <c r="H10" s="64">
        <f t="shared" si="1"/>
        <v>0.06</v>
      </c>
      <c r="I10" s="65">
        <v>0.04</v>
      </c>
      <c r="J10" s="62">
        <v>0.02</v>
      </c>
      <c r="K10" s="62">
        <v>0.1</v>
      </c>
      <c r="L10" s="62">
        <v>2.5999999999999999E-2</v>
      </c>
      <c r="M10" s="62">
        <v>0.11</v>
      </c>
      <c r="N10" s="62">
        <v>0.16</v>
      </c>
      <c r="O10" s="64">
        <f t="shared" si="0"/>
        <v>0.08</v>
      </c>
      <c r="P10" s="66">
        <v>0.04</v>
      </c>
      <c r="Q10" s="62">
        <v>0.02</v>
      </c>
      <c r="R10" s="62">
        <v>0.1</v>
      </c>
      <c r="S10" s="62">
        <v>0.04</v>
      </c>
      <c r="T10" s="62">
        <v>0.11</v>
      </c>
      <c r="U10" s="67" t="s">
        <v>86</v>
      </c>
      <c r="V10" s="64">
        <f t="shared" si="2"/>
        <v>0.06</v>
      </c>
      <c r="W10" s="68">
        <f t="shared" si="3"/>
        <v>7.0000000000000007E-2</v>
      </c>
    </row>
    <row r="11" spans="1:23" ht="28" customHeight="1" x14ac:dyDescent="0.3">
      <c r="A11" s="9">
        <v>7</v>
      </c>
      <c r="B11" s="31" t="s">
        <v>91</v>
      </c>
      <c r="C11" s="62">
        <v>0.18</v>
      </c>
      <c r="D11" s="62">
        <v>0.46</v>
      </c>
      <c r="E11" s="62">
        <v>0.15</v>
      </c>
      <c r="F11" s="69" t="s">
        <v>86</v>
      </c>
      <c r="G11" s="63">
        <v>0.11</v>
      </c>
      <c r="H11" s="64">
        <f t="shared" si="1"/>
        <v>0.23</v>
      </c>
      <c r="I11" s="65">
        <v>0.18</v>
      </c>
      <c r="J11" s="62">
        <v>0.46</v>
      </c>
      <c r="K11" s="62">
        <v>0.15</v>
      </c>
      <c r="L11" s="69" t="s">
        <v>86</v>
      </c>
      <c r="M11" s="62">
        <v>0.11</v>
      </c>
      <c r="N11" s="62">
        <v>0.62</v>
      </c>
      <c r="O11" s="64">
        <f t="shared" si="0"/>
        <v>0.3</v>
      </c>
      <c r="P11" s="66">
        <v>0.18</v>
      </c>
      <c r="Q11" s="62">
        <v>0.46</v>
      </c>
      <c r="R11" s="62">
        <v>0.15</v>
      </c>
      <c r="S11" s="69" t="s">
        <v>86</v>
      </c>
      <c r="T11" s="62">
        <v>0.11</v>
      </c>
      <c r="U11" s="67" t="s">
        <v>86</v>
      </c>
      <c r="V11" s="64">
        <f t="shared" si="2"/>
        <v>0.23</v>
      </c>
      <c r="W11" s="68">
        <f t="shared" si="3"/>
        <v>0.25</v>
      </c>
    </row>
    <row r="12" spans="1:23" ht="28" customHeight="1" x14ac:dyDescent="0.3">
      <c r="A12" s="9">
        <v>8</v>
      </c>
      <c r="B12" s="31" t="s">
        <v>92</v>
      </c>
      <c r="C12" s="62">
        <v>1.1399999999999999</v>
      </c>
      <c r="D12" s="62">
        <v>4.3600000000000003</v>
      </c>
      <c r="E12" s="62">
        <v>1.97</v>
      </c>
      <c r="F12" s="62">
        <v>1.623</v>
      </c>
      <c r="G12" s="63">
        <v>2.83</v>
      </c>
      <c r="H12" s="64">
        <f t="shared" si="1"/>
        <v>2.38</v>
      </c>
      <c r="I12" s="65">
        <v>1.1399999999999999</v>
      </c>
      <c r="J12" s="62">
        <v>4.3600000000000003</v>
      </c>
      <c r="K12" s="62">
        <v>1.97</v>
      </c>
      <c r="L12" s="62">
        <v>1.425</v>
      </c>
      <c r="M12" s="62">
        <v>2.84</v>
      </c>
      <c r="N12" s="62">
        <v>1.5</v>
      </c>
      <c r="O12" s="64">
        <f t="shared" si="0"/>
        <v>2.21</v>
      </c>
      <c r="P12" s="66">
        <v>1.1399999999999999</v>
      </c>
      <c r="Q12" s="62">
        <v>4.3600000000000003</v>
      </c>
      <c r="R12" s="62">
        <v>1.97</v>
      </c>
      <c r="S12" s="62">
        <v>1.74</v>
      </c>
      <c r="T12" s="62">
        <v>2.84</v>
      </c>
      <c r="U12" s="67" t="s">
        <v>86</v>
      </c>
      <c r="V12" s="64">
        <f t="shared" si="2"/>
        <v>2.41</v>
      </c>
      <c r="W12" s="68">
        <f t="shared" si="3"/>
        <v>2.33</v>
      </c>
    </row>
    <row r="13" spans="1:23" ht="28" customHeight="1" x14ac:dyDescent="0.3">
      <c r="A13" s="9">
        <v>9</v>
      </c>
      <c r="B13" s="31" t="s">
        <v>93</v>
      </c>
      <c r="C13" s="62">
        <v>0.02</v>
      </c>
      <c r="D13" s="62">
        <v>0.01</v>
      </c>
      <c r="E13" s="62">
        <v>0.1</v>
      </c>
      <c r="F13" s="62">
        <v>2.4769999999999999</v>
      </c>
      <c r="G13" s="67" t="s">
        <v>86</v>
      </c>
      <c r="H13" s="64">
        <f t="shared" si="1"/>
        <v>0.65</v>
      </c>
      <c r="I13" s="65">
        <v>0.02</v>
      </c>
      <c r="J13" s="62">
        <v>0.01</v>
      </c>
      <c r="K13" s="62">
        <v>0.1</v>
      </c>
      <c r="L13" s="62">
        <v>2.8050000000000002</v>
      </c>
      <c r="M13" s="69" t="s">
        <v>86</v>
      </c>
      <c r="N13" s="69" t="s">
        <v>86</v>
      </c>
      <c r="O13" s="64">
        <f t="shared" si="0"/>
        <v>0.73</v>
      </c>
      <c r="P13" s="70">
        <v>0.02</v>
      </c>
      <c r="Q13" s="71">
        <v>0.01</v>
      </c>
      <c r="R13" s="72">
        <v>0.1</v>
      </c>
      <c r="S13" s="71">
        <v>0.45</v>
      </c>
      <c r="T13" s="69" t="s">
        <v>86</v>
      </c>
      <c r="U13" s="67" t="s">
        <v>86</v>
      </c>
      <c r="V13" s="64">
        <f t="shared" si="2"/>
        <v>0.15</v>
      </c>
      <c r="W13" s="68">
        <f t="shared" si="3"/>
        <v>0.51</v>
      </c>
    </row>
    <row r="14" spans="1:23" ht="14.15" customHeight="1" x14ac:dyDescent="0.3">
      <c r="A14" s="9">
        <v>10</v>
      </c>
      <c r="B14" s="31" t="s">
        <v>94</v>
      </c>
      <c r="C14" s="69" t="s">
        <v>86</v>
      </c>
      <c r="D14" s="62">
        <v>0.25</v>
      </c>
      <c r="E14" s="62">
        <v>0.15</v>
      </c>
      <c r="F14" s="69" t="s">
        <v>86</v>
      </c>
      <c r="G14" s="67" t="s">
        <v>86</v>
      </c>
      <c r="H14" s="64">
        <f t="shared" si="1"/>
        <v>0.2</v>
      </c>
      <c r="I14" s="73" t="s">
        <v>86</v>
      </c>
      <c r="J14" s="62">
        <v>0.25</v>
      </c>
      <c r="K14" s="62">
        <v>0.15</v>
      </c>
      <c r="L14" s="69" t="s">
        <v>86</v>
      </c>
      <c r="M14" s="69" t="s">
        <v>86</v>
      </c>
      <c r="N14" s="62">
        <v>0.2</v>
      </c>
      <c r="O14" s="64">
        <f t="shared" si="0"/>
        <v>0.2</v>
      </c>
      <c r="P14" s="74" t="s">
        <v>86</v>
      </c>
      <c r="Q14" s="71">
        <v>0.25</v>
      </c>
      <c r="R14" s="71">
        <v>0.15</v>
      </c>
      <c r="S14" s="75" t="s">
        <v>86</v>
      </c>
      <c r="T14" s="69" t="s">
        <v>86</v>
      </c>
      <c r="U14" s="67" t="s">
        <v>86</v>
      </c>
      <c r="V14" s="64">
        <f t="shared" si="2"/>
        <v>0.2</v>
      </c>
      <c r="W14" s="68">
        <f t="shared" si="3"/>
        <v>0.2</v>
      </c>
    </row>
    <row r="15" spans="1:23" ht="42" customHeight="1" x14ac:dyDescent="0.3">
      <c r="A15" s="9">
        <v>11</v>
      </c>
      <c r="B15" s="31" t="s">
        <v>95</v>
      </c>
      <c r="C15" s="62">
        <v>0.22</v>
      </c>
      <c r="D15" s="62">
        <v>0.02</v>
      </c>
      <c r="E15" s="62">
        <v>0.05</v>
      </c>
      <c r="F15" s="69" t="s">
        <v>86</v>
      </c>
      <c r="G15" s="67" t="s">
        <v>86</v>
      </c>
      <c r="H15" s="64">
        <f t="shared" si="1"/>
        <v>0.1</v>
      </c>
      <c r="I15" s="65">
        <v>0.22</v>
      </c>
      <c r="J15" s="62">
        <v>0.02</v>
      </c>
      <c r="K15" s="62">
        <v>0.05</v>
      </c>
      <c r="L15" s="69" t="s">
        <v>86</v>
      </c>
      <c r="M15" s="69" t="s">
        <v>86</v>
      </c>
      <c r="N15" s="62">
        <v>0.2</v>
      </c>
      <c r="O15" s="64">
        <f t="shared" si="0"/>
        <v>0.12</v>
      </c>
      <c r="P15" s="70">
        <v>0.22</v>
      </c>
      <c r="Q15" s="71">
        <v>0.02</v>
      </c>
      <c r="R15" s="71">
        <v>0.05</v>
      </c>
      <c r="S15" s="75" t="s">
        <v>86</v>
      </c>
      <c r="T15" s="69" t="s">
        <v>86</v>
      </c>
      <c r="U15" s="67" t="s">
        <v>86</v>
      </c>
      <c r="V15" s="64">
        <f t="shared" si="2"/>
        <v>0.1</v>
      </c>
      <c r="W15" s="68">
        <f t="shared" si="3"/>
        <v>0.11</v>
      </c>
    </row>
    <row r="16" spans="1:23" ht="14.15" customHeight="1" x14ac:dyDescent="0.3">
      <c r="A16" s="9">
        <v>12</v>
      </c>
      <c r="B16" s="31" t="s">
        <v>96</v>
      </c>
      <c r="C16" s="69" t="s">
        <v>86</v>
      </c>
      <c r="D16" s="69" t="s">
        <v>86</v>
      </c>
      <c r="E16" s="69" t="s">
        <v>86</v>
      </c>
      <c r="F16" s="69" t="s">
        <v>86</v>
      </c>
      <c r="G16" s="67" t="s">
        <v>86</v>
      </c>
      <c r="H16" s="64">
        <v>0</v>
      </c>
      <c r="I16" s="73" t="s">
        <v>86</v>
      </c>
      <c r="J16" s="69" t="s">
        <v>86</v>
      </c>
      <c r="K16" s="69" t="s">
        <v>86</v>
      </c>
      <c r="L16" s="62">
        <v>0.11</v>
      </c>
      <c r="M16" s="69" t="s">
        <v>86</v>
      </c>
      <c r="N16" s="69" t="s">
        <v>86</v>
      </c>
      <c r="O16" s="64">
        <f t="shared" si="0"/>
        <v>0.11</v>
      </c>
      <c r="P16" s="76" t="s">
        <v>86</v>
      </c>
      <c r="Q16" s="69" t="s">
        <v>86</v>
      </c>
      <c r="R16" s="69" t="s">
        <v>86</v>
      </c>
      <c r="S16" s="69" t="s">
        <v>86</v>
      </c>
      <c r="T16" s="69" t="s">
        <v>86</v>
      </c>
      <c r="U16" s="67" t="s">
        <v>86</v>
      </c>
      <c r="V16" s="64">
        <v>0</v>
      </c>
      <c r="W16" s="68">
        <f t="shared" si="3"/>
        <v>0.04</v>
      </c>
    </row>
    <row r="17" spans="1:23" ht="28" customHeight="1" x14ac:dyDescent="0.3">
      <c r="A17" s="9">
        <v>13</v>
      </c>
      <c r="B17" s="31" t="s">
        <v>97</v>
      </c>
      <c r="C17" s="62">
        <v>0.09</v>
      </c>
      <c r="D17" s="62">
        <v>7.0000000000000007E-2</v>
      </c>
      <c r="E17" s="62">
        <v>0.3</v>
      </c>
      <c r="F17" s="62">
        <v>0.22</v>
      </c>
      <c r="G17" s="67" t="s">
        <v>86</v>
      </c>
      <c r="H17" s="64">
        <f t="shared" si="1"/>
        <v>0.17</v>
      </c>
      <c r="I17" s="65">
        <v>0.09</v>
      </c>
      <c r="J17" s="62">
        <v>7.0000000000000007E-2</v>
      </c>
      <c r="K17" s="62">
        <v>0.3</v>
      </c>
      <c r="L17" s="62">
        <v>0.27200000000000002</v>
      </c>
      <c r="M17" s="69" t="s">
        <v>86</v>
      </c>
      <c r="N17" s="62">
        <v>0.03</v>
      </c>
      <c r="O17" s="64">
        <f t="shared" si="0"/>
        <v>0.15</v>
      </c>
      <c r="P17" s="70">
        <v>0.09</v>
      </c>
      <c r="Q17" s="71">
        <v>7.0000000000000007E-2</v>
      </c>
      <c r="R17" s="72">
        <v>0.3</v>
      </c>
      <c r="S17" s="71">
        <v>0.14000000000000001</v>
      </c>
      <c r="T17" s="69" t="s">
        <v>86</v>
      </c>
      <c r="U17" s="67" t="s">
        <v>86</v>
      </c>
      <c r="V17" s="64">
        <f t="shared" si="2"/>
        <v>0.15</v>
      </c>
      <c r="W17" s="68">
        <f t="shared" si="3"/>
        <v>0.16</v>
      </c>
    </row>
    <row r="18" spans="1:23" x14ac:dyDescent="0.3">
      <c r="F18" s="17"/>
    </row>
    <row r="19" spans="1:23" x14ac:dyDescent="0.3">
      <c r="A19" s="151" t="s">
        <v>98</v>
      </c>
      <c r="B19" s="151"/>
      <c r="C19" s="151"/>
      <c r="D19" s="151"/>
      <c r="E19" s="151"/>
      <c r="F19" s="151"/>
      <c r="G19" s="151"/>
      <c r="H19" s="151"/>
      <c r="I19" s="151"/>
      <c r="J19" s="151"/>
      <c r="K19" s="151"/>
      <c r="L19" s="151"/>
      <c r="M19" s="151"/>
      <c r="N19" s="151"/>
      <c r="O19" s="151"/>
      <c r="P19" s="151"/>
      <c r="Q19" s="151"/>
      <c r="R19" s="151"/>
      <c r="S19" s="151"/>
      <c r="T19" s="151"/>
      <c r="U19" s="151"/>
      <c r="V19" s="151"/>
      <c r="W19" s="151"/>
    </row>
    <row r="20" spans="1:23" ht="29.5" customHeight="1" x14ac:dyDescent="0.3">
      <c r="A20" s="144" t="s">
        <v>142</v>
      </c>
      <c r="B20" s="144"/>
      <c r="C20" s="144"/>
      <c r="D20" s="144"/>
      <c r="E20" s="144"/>
      <c r="F20" s="144"/>
      <c r="G20" s="144"/>
      <c r="H20" s="144"/>
      <c r="I20" s="144"/>
      <c r="J20" s="144"/>
      <c r="K20" s="144"/>
      <c r="L20" s="144"/>
      <c r="M20" s="144"/>
      <c r="N20" s="144"/>
      <c r="O20" s="144"/>
      <c r="P20" s="144"/>
      <c r="Q20" s="144"/>
      <c r="R20" s="144"/>
      <c r="S20" s="144"/>
      <c r="T20" s="144"/>
      <c r="U20" s="144"/>
      <c r="V20" s="144"/>
      <c r="W20" s="144"/>
    </row>
  </sheetData>
  <mergeCells count="10">
    <mergeCell ref="A2:W2"/>
    <mergeCell ref="A1:W1"/>
    <mergeCell ref="A20:W20"/>
    <mergeCell ref="A19:W19"/>
    <mergeCell ref="A3:A4"/>
    <mergeCell ref="B3:B4"/>
    <mergeCell ref="C3:H3"/>
    <mergeCell ref="I3:O3"/>
    <mergeCell ref="W3:W4"/>
    <mergeCell ref="P3:V3"/>
  </mergeCells>
  <pageMargins left="0.70866141732283472" right="0.70866141732283472" top="0.74803149606299213" bottom="0.74803149606299213"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9"/>
  <sheetViews>
    <sheetView zoomScaleNormal="100" workbookViewId="0">
      <selection sqref="A1:C1"/>
    </sheetView>
  </sheetViews>
  <sheetFormatPr defaultColWidth="9.1796875" defaultRowHeight="14" x14ac:dyDescent="0.3"/>
  <cols>
    <col min="1" max="1" width="4.1796875" style="2" customWidth="1"/>
    <col min="2" max="2" width="35.26953125" style="2" customWidth="1"/>
    <col min="3" max="3" width="19.26953125" style="2" customWidth="1"/>
    <col min="4" max="4" width="18.453125" style="2" customWidth="1"/>
    <col min="5" max="16384" width="9.1796875" style="2"/>
  </cols>
  <sheetData>
    <row r="1" spans="1:5" x14ac:dyDescent="0.3">
      <c r="A1" s="167" t="s">
        <v>99</v>
      </c>
      <c r="B1" s="167"/>
      <c r="C1" s="167"/>
      <c r="D1" s="18"/>
      <c r="E1" s="18"/>
    </row>
    <row r="2" spans="1:5" x14ac:dyDescent="0.3">
      <c r="A2" s="166" t="s">
        <v>100</v>
      </c>
      <c r="B2" s="166"/>
      <c r="C2" s="166"/>
    </row>
    <row r="3" spans="1:5" ht="28" x14ac:dyDescent="0.3">
      <c r="A3" s="50" t="s">
        <v>71</v>
      </c>
      <c r="B3" s="50" t="s">
        <v>101</v>
      </c>
      <c r="C3" s="50" t="s">
        <v>102</v>
      </c>
    </row>
    <row r="4" spans="1:5" x14ac:dyDescent="0.3">
      <c r="A4" s="19">
        <v>1</v>
      </c>
      <c r="B4" s="3" t="s">
        <v>103</v>
      </c>
      <c r="C4" s="20">
        <v>67864.570000000007</v>
      </c>
    </row>
    <row r="5" spans="1:5" ht="21" customHeight="1" x14ac:dyDescent="0.3">
      <c r="A5" s="19">
        <v>2</v>
      </c>
      <c r="B5" s="3" t="s">
        <v>104</v>
      </c>
      <c r="C5" s="20">
        <v>41364.769999999997</v>
      </c>
    </row>
    <row r="6" spans="1:5" x14ac:dyDescent="0.3">
      <c r="A6" s="19">
        <v>3</v>
      </c>
      <c r="B6" s="3" t="s">
        <v>105</v>
      </c>
      <c r="C6" s="20">
        <v>55500</v>
      </c>
    </row>
    <row r="7" spans="1:5" x14ac:dyDescent="0.3">
      <c r="A7" s="168" t="s">
        <v>106</v>
      </c>
      <c r="B7" s="169"/>
      <c r="C7" s="20">
        <f>SUM(C4:C6)</f>
        <v>164729.34</v>
      </c>
    </row>
    <row r="8" spans="1:5" x14ac:dyDescent="0.3">
      <c r="A8" s="162" t="s">
        <v>107</v>
      </c>
      <c r="B8" s="163"/>
      <c r="C8" s="20">
        <f>C7/3</f>
        <v>54909.78</v>
      </c>
    </row>
    <row r="9" spans="1:5" x14ac:dyDescent="0.3">
      <c r="A9" s="162" t="s">
        <v>108</v>
      </c>
      <c r="B9" s="163"/>
      <c r="C9" s="21">
        <v>120</v>
      </c>
    </row>
    <row r="10" spans="1:5" x14ac:dyDescent="0.3">
      <c r="A10" s="162" t="s">
        <v>109</v>
      </c>
      <c r="B10" s="163"/>
      <c r="C10" s="20">
        <f>C8/C9</f>
        <v>457.58150000000001</v>
      </c>
    </row>
    <row r="11" spans="1:5" x14ac:dyDescent="0.3">
      <c r="A11" s="162" t="s">
        <v>110</v>
      </c>
      <c r="B11" s="163"/>
      <c r="C11" s="20">
        <f>C10/16</f>
        <v>28.59884375</v>
      </c>
    </row>
    <row r="12" spans="1:5" x14ac:dyDescent="0.3">
      <c r="A12" s="164" t="s">
        <v>111</v>
      </c>
      <c r="B12" s="165"/>
      <c r="C12" s="22">
        <f>C11/21</f>
        <v>1.3618497023809524</v>
      </c>
    </row>
    <row r="13" spans="1:5" x14ac:dyDescent="0.3">
      <c r="B13" s="23"/>
      <c r="C13" s="24"/>
    </row>
    <row r="14" spans="1:5" x14ac:dyDescent="0.3">
      <c r="B14" s="23"/>
      <c r="C14" s="24"/>
    </row>
    <row r="15" spans="1:5" x14ac:dyDescent="0.3">
      <c r="B15" s="23"/>
      <c r="C15" s="24"/>
    </row>
    <row r="16" spans="1:5" x14ac:dyDescent="0.3">
      <c r="B16" s="23"/>
      <c r="C16" s="24"/>
    </row>
    <row r="17" spans="2:3" x14ac:dyDescent="0.3">
      <c r="B17" s="23"/>
      <c r="C17" s="24"/>
    </row>
    <row r="18" spans="2:3" x14ac:dyDescent="0.3">
      <c r="C18" s="24"/>
    </row>
    <row r="19" spans="2:3" x14ac:dyDescent="0.3">
      <c r="C19" s="24"/>
    </row>
  </sheetData>
  <mergeCells count="8">
    <mergeCell ref="A11:B11"/>
    <mergeCell ref="A12:B12"/>
    <mergeCell ref="A2:C2"/>
    <mergeCell ref="A1:C1"/>
    <mergeCell ref="A7:B7"/>
    <mergeCell ref="A8:B8"/>
    <mergeCell ref="A9:B9"/>
    <mergeCell ref="A10: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workbookViewId="0">
      <selection sqref="A1:G1"/>
    </sheetView>
  </sheetViews>
  <sheetFormatPr defaultColWidth="9.1796875" defaultRowHeight="12.5" x14ac:dyDescent="0.25"/>
  <cols>
    <col min="1" max="1" width="32.7265625" style="25" customWidth="1"/>
    <col min="2" max="2" width="17.7265625" style="25" customWidth="1"/>
    <col min="3" max="3" width="7.7265625" style="25" customWidth="1"/>
    <col min="4" max="4" width="19.7265625" style="25" customWidth="1"/>
    <col min="5" max="5" width="21.7265625" style="25" customWidth="1"/>
    <col min="6" max="6" width="11.7265625" style="25" customWidth="1"/>
    <col min="7" max="7" width="22.7265625" style="25" customWidth="1"/>
    <col min="8" max="16384" width="9.1796875" style="25"/>
  </cols>
  <sheetData>
    <row r="1" spans="1:7" ht="14" x14ac:dyDescent="0.3">
      <c r="A1" s="170" t="s">
        <v>112</v>
      </c>
      <c r="B1" s="170"/>
      <c r="C1" s="170"/>
      <c r="D1" s="170"/>
      <c r="E1" s="170"/>
      <c r="F1" s="170"/>
      <c r="G1" s="170"/>
    </row>
    <row r="2" spans="1:7" ht="14" x14ac:dyDescent="0.25">
      <c r="A2" s="115" t="s">
        <v>113</v>
      </c>
      <c r="B2" s="115"/>
      <c r="C2" s="115"/>
      <c r="D2" s="115"/>
      <c r="E2" s="115"/>
      <c r="F2" s="115"/>
      <c r="G2" s="115"/>
    </row>
    <row r="3" spans="1:7" ht="42" x14ac:dyDescent="0.25">
      <c r="A3" s="8" t="s">
        <v>114</v>
      </c>
      <c r="B3" s="8" t="s">
        <v>115</v>
      </c>
      <c r="C3" s="8" t="s">
        <v>116</v>
      </c>
      <c r="D3" s="8" t="s">
        <v>117</v>
      </c>
      <c r="E3" s="8" t="s">
        <v>118</v>
      </c>
      <c r="F3" s="8" t="s">
        <v>119</v>
      </c>
      <c r="G3" s="8" t="s">
        <v>120</v>
      </c>
    </row>
    <row r="4" spans="1:7" ht="14" x14ac:dyDescent="0.3">
      <c r="A4" s="51">
        <v>1</v>
      </c>
      <c r="B4" s="51">
        <v>2</v>
      </c>
      <c r="C4" s="52">
        <v>3</v>
      </c>
      <c r="D4" s="51" t="s">
        <v>121</v>
      </c>
      <c r="E4" s="53" t="s">
        <v>122</v>
      </c>
      <c r="F4" s="53">
        <v>6</v>
      </c>
      <c r="G4" s="51" t="s">
        <v>123</v>
      </c>
    </row>
    <row r="5" spans="1:7" ht="14" x14ac:dyDescent="0.3">
      <c r="A5" s="7" t="s">
        <v>124</v>
      </c>
      <c r="B5" s="9">
        <v>176.75</v>
      </c>
      <c r="C5" s="177">
        <v>1720</v>
      </c>
      <c r="D5" s="173">
        <f>ROUND(B5/C5,2)</f>
        <v>0.1</v>
      </c>
      <c r="E5" s="173">
        <f>ROUND(AVERAGE(D5),2)</f>
        <v>0.1</v>
      </c>
      <c r="F5" s="175">
        <v>3</v>
      </c>
      <c r="G5" s="26"/>
    </row>
    <row r="6" spans="1:7" ht="14" x14ac:dyDescent="0.3">
      <c r="A6" s="7" t="s">
        <v>125</v>
      </c>
      <c r="B6" s="9">
        <v>176.75</v>
      </c>
      <c r="C6" s="177"/>
      <c r="D6" s="174"/>
      <c r="E6" s="174"/>
      <c r="F6" s="176"/>
      <c r="G6" s="27">
        <f>ROUND(E5*F5+E7*F7,2)</f>
        <v>0.34</v>
      </c>
    </row>
    <row r="7" spans="1:7" ht="14" x14ac:dyDescent="0.3">
      <c r="A7" s="7" t="s">
        <v>126</v>
      </c>
      <c r="B7" s="9">
        <v>75.75</v>
      </c>
      <c r="C7" s="177"/>
      <c r="D7" s="16">
        <f>ROUND(B7/C5,2)</f>
        <v>0.04</v>
      </c>
      <c r="E7" s="16">
        <f>D7</f>
        <v>0.04</v>
      </c>
      <c r="F7" s="33">
        <v>1</v>
      </c>
      <c r="G7" s="28"/>
    </row>
    <row r="8" spans="1:7" ht="14" x14ac:dyDescent="0.3">
      <c r="A8" s="4"/>
      <c r="B8" s="4"/>
      <c r="C8" s="4"/>
      <c r="D8" s="4"/>
      <c r="E8" s="4"/>
      <c r="F8" s="4"/>
      <c r="G8" s="4"/>
    </row>
    <row r="9" spans="1:7" ht="35.25" customHeight="1" x14ac:dyDescent="0.25">
      <c r="A9" s="171" t="s">
        <v>127</v>
      </c>
      <c r="B9" s="171"/>
      <c r="C9" s="171"/>
      <c r="D9" s="171"/>
      <c r="E9" s="171"/>
      <c r="F9" s="171"/>
      <c r="G9" s="171"/>
    </row>
    <row r="10" spans="1:7" ht="69" customHeight="1" x14ac:dyDescent="0.25">
      <c r="A10" s="171" t="s">
        <v>128</v>
      </c>
      <c r="B10" s="171"/>
      <c r="C10" s="171"/>
      <c r="D10" s="171"/>
      <c r="E10" s="171"/>
      <c r="F10" s="171"/>
      <c r="G10" s="171"/>
    </row>
    <row r="11" spans="1:7" ht="36.75" customHeight="1" x14ac:dyDescent="0.25">
      <c r="A11" s="171" t="s">
        <v>129</v>
      </c>
      <c r="B11" s="171"/>
      <c r="C11" s="171"/>
      <c r="D11" s="171"/>
      <c r="E11" s="171"/>
      <c r="F11" s="171"/>
      <c r="G11" s="171"/>
    </row>
    <row r="12" spans="1:7" ht="14" x14ac:dyDescent="0.25">
      <c r="A12" s="172" t="s">
        <v>130</v>
      </c>
      <c r="B12" s="172"/>
      <c r="C12" s="172"/>
      <c r="D12" s="172"/>
      <c r="E12" s="172"/>
      <c r="F12" s="172"/>
      <c r="G12" s="172"/>
    </row>
  </sheetData>
  <mergeCells count="10">
    <mergeCell ref="A1:G1"/>
    <mergeCell ref="A2:G2"/>
    <mergeCell ref="A9:G9"/>
    <mergeCell ref="A10:G10"/>
    <mergeCell ref="A12:G12"/>
    <mergeCell ref="D5:D6"/>
    <mergeCell ref="E5:E6"/>
    <mergeCell ref="F5:F6"/>
    <mergeCell ref="A11:G11"/>
    <mergeCell ref="C5:C7"/>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zoomScaleNormal="100" workbookViewId="0">
      <selection sqref="A1:B1"/>
    </sheetView>
  </sheetViews>
  <sheetFormatPr defaultColWidth="9.1796875" defaultRowHeight="15.5" x14ac:dyDescent="0.35"/>
  <cols>
    <col min="1" max="1" width="22.1796875" style="1" customWidth="1"/>
    <col min="2" max="3" width="82.81640625" style="1" customWidth="1"/>
    <col min="4" max="16384" width="9.1796875" style="1"/>
  </cols>
  <sheetData>
    <row r="1" spans="1:3" s="2" customFormat="1" ht="14" x14ac:dyDescent="0.3">
      <c r="A1" s="98" t="s">
        <v>131</v>
      </c>
      <c r="B1" s="98"/>
    </row>
    <row r="2" spans="1:3" s="2" customFormat="1" ht="38.25" customHeight="1" x14ac:dyDescent="0.3">
      <c r="A2" s="145" t="s">
        <v>132</v>
      </c>
      <c r="B2" s="145"/>
      <c r="C2" s="29"/>
    </row>
    <row r="3" spans="1:3" s="2" customFormat="1" ht="187.5" customHeight="1" x14ac:dyDescent="0.3">
      <c r="A3" s="178" t="s">
        <v>133</v>
      </c>
      <c r="B3" s="179"/>
    </row>
  </sheetData>
  <mergeCells count="3">
    <mergeCell ref="A2:B2"/>
    <mergeCell ref="A3:B3"/>
    <mergeCell ref="A1:B1"/>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EE3C3F43D7910B4C90A18CD222E4576E" ma:contentTypeVersion="6" ma:contentTypeDescription="Izveidot jaunu dokumentu." ma:contentTypeScope="" ma:versionID="294358c66a6ea209c21da8c0f314d228">
  <xsd:schema xmlns:xsd="http://www.w3.org/2001/XMLSchema" xmlns:xs="http://www.w3.org/2001/XMLSchema" xmlns:p="http://schemas.microsoft.com/office/2006/metadata/properties" xmlns:ns2="468eb95e-0487-43f6-b021-c543e1c0be87" xmlns:ns3="2d868c06-d131-488e-93d1-087529b960f0" targetNamespace="http://schemas.microsoft.com/office/2006/metadata/properties" ma:root="true" ma:fieldsID="f19ce84da3350ff3f370ee9d260b4ff3" ns2:_="" ns3:_="">
    <xsd:import namespace="468eb95e-0487-43f6-b021-c543e1c0be87"/>
    <xsd:import namespace="2d868c06-d131-488e-93d1-087529b96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8eb95e-0487-43f6-b021-c543e1c0be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868c06-d131-488e-93d1-087529b960f0"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ADCE5E-736F-4635-9E67-9641B1D376D8}">
  <ds:schemaRefs>
    <ds:schemaRef ds:uri="http://schemas.microsoft.com/office/2006/documentManagement/types"/>
    <ds:schemaRef ds:uri="http://www.w3.org/XML/1998/namespace"/>
    <ds:schemaRef ds:uri="2d868c06-d131-488e-93d1-087529b960f0"/>
    <ds:schemaRef ds:uri="http://schemas.openxmlformats.org/package/2006/metadata/core-properties"/>
    <ds:schemaRef ds:uri="http://schemas.microsoft.com/office/2006/metadata/properties"/>
    <ds:schemaRef ds:uri="http://schemas.microsoft.com/office/infopath/2007/PartnerControls"/>
    <ds:schemaRef ds:uri="http://purl.org/dc/terms/"/>
    <ds:schemaRef ds:uri="468eb95e-0487-43f6-b021-c543e1c0be87"/>
    <ds:schemaRef ds:uri="http://purl.org/dc/dcmitype/"/>
    <ds:schemaRef ds:uri="http://purl.org/dc/elements/1.1/"/>
  </ds:schemaRefs>
</ds:datastoreItem>
</file>

<file path=customXml/itemProps2.xml><?xml version="1.0" encoding="utf-8"?>
<ds:datastoreItem xmlns:ds="http://schemas.openxmlformats.org/officeDocument/2006/customXml" ds:itemID="{7C1F02FF-CADE-4D8F-A52F-613C376A0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8eb95e-0487-43f6-b021-c543e1c0be87"/>
    <ds:schemaRef ds:uri="2d868c06-d131-488e-93d1-087529b9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5960F-5A6E-4E10-984B-BEE0156B80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4.1. pielikums</vt:lpstr>
      <vt:lpstr>4.2. pielikums</vt:lpstr>
      <vt:lpstr>4.3. pielikums</vt:lpstr>
      <vt:lpstr>4.4. pielikums</vt:lpstr>
      <vt:lpstr>4.5. pielikums</vt:lpstr>
      <vt:lpstr>4.6. pielikums</vt:lpstr>
      <vt:lpstr>4.7. pielikums</vt:lpstr>
      <vt:lpstr>'4.2. pielikums'!Print_Titles</vt:lpstr>
    </vt:vector>
  </TitlesOfParts>
  <Manager/>
  <Company>LRLM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cp:keywords/>
  <dc:description/>
  <cp:lastModifiedBy>Vjačeslavs Makarovs</cp:lastModifiedBy>
  <cp:revision/>
  <dcterms:created xsi:type="dcterms:W3CDTF">2012-09-03T07:32:21Z</dcterms:created>
  <dcterms:modified xsi:type="dcterms:W3CDTF">2023-03-15T09:08:26Z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0x010100EE3C3F43D7910B4C90A18CD222E4576E</vt:lpwstr>
  </property>
</Properties>
</file>